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Eyron\Desktop\lala\"/>
    </mc:Choice>
  </mc:AlternateContent>
  <xr:revisionPtr revIDLastSave="0" documentId="13_ncr:1_{26C52060-029D-4D63-B2AE-0F7B8EC62405}" xr6:coauthVersionLast="45" xr6:coauthVersionMax="45" xr10:uidLastSave="{00000000-0000-0000-0000-000000000000}"/>
  <bookViews>
    <workbookView xWindow="-120" yWindow="-120" windowWidth="20730" windowHeight="11310" firstSheet="2" activeTab="2" xr2:uid="{00000000-000D-0000-FFFF-FFFF00000000}"/>
  </bookViews>
  <sheets>
    <sheet name="Workshop 6b_INFRA" sheetId="21" r:id="rId1"/>
    <sheet name="Workshop6a-INFRA" sheetId="20" r:id="rId2"/>
    <sheet name="Step 5" sheetId="19" r:id="rId3"/>
    <sheet name="Goals &amp; Objectives" sheetId="18" r:id="rId4"/>
    <sheet name="Assign" sheetId="17" r:id="rId5"/>
    <sheet name="Summary" sheetId="15" r:id="rId6"/>
    <sheet name="Sheet7" sheetId="27" r:id="rId7"/>
    <sheet name="Sheet7 (2)" sheetId="28" r:id="rId8"/>
    <sheet name="3.5 Roads and Bridges" sheetId="9" r:id="rId9"/>
    <sheet name="Sheet2" sheetId="22" state="hidden" r:id="rId10"/>
  </sheets>
  <externalReferences>
    <externalReference r:id="rId11"/>
    <externalReference r:id="rId12"/>
  </externalReferences>
  <definedNames>
    <definedName name="_xlnm._FilterDatabase" localSheetId="8" hidden="1">'3.5 Roads and Bridges'!$A$5:$AQ$90</definedName>
    <definedName name="Lifeline_Classification">'[1]Technical Options'!$L$6:$L$14</definedName>
  </definedNames>
  <calcPr calcId="191029"/>
  <pivotCaches>
    <pivotCache cacheId="59"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94" i="27" l="1"/>
  <c r="G94" i="27"/>
  <c r="H95" i="27"/>
  <c r="G95" i="27"/>
  <c r="H92" i="28"/>
  <c r="G92" i="28"/>
  <c r="F92" i="28"/>
  <c r="H91" i="28"/>
  <c r="H64" i="28"/>
  <c r="G64" i="28"/>
  <c r="F64" i="28"/>
  <c r="H37" i="28"/>
  <c r="H36" i="28" s="1"/>
  <c r="G37" i="28"/>
  <c r="F37" i="28"/>
  <c r="H6" i="28"/>
  <c r="H5" i="28" s="1"/>
  <c r="G6" i="28"/>
  <c r="G5" i="28" s="1"/>
  <c r="F6" i="28"/>
  <c r="E4" i="15"/>
  <c r="G92" i="27"/>
  <c r="G91" i="27" s="1"/>
  <c r="F5" i="15" s="1"/>
  <c r="H92" i="27"/>
  <c r="H91" i="27" s="1"/>
  <c r="F92" i="27"/>
  <c r="E5" i="15" s="1"/>
  <c r="G63" i="27"/>
  <c r="H64" i="27"/>
  <c r="H63" i="27" s="1"/>
  <c r="G64" i="27"/>
  <c r="F64" i="27"/>
  <c r="E7" i="15" s="1"/>
  <c r="G37" i="27"/>
  <c r="H37" i="27"/>
  <c r="F37" i="27"/>
  <c r="G36" i="27" s="1"/>
  <c r="G6" i="27"/>
  <c r="G5" i="27" s="1"/>
  <c r="F4" i="15" s="1"/>
  <c r="H6" i="27"/>
  <c r="H5" i="27" s="1"/>
  <c r="F6" i="27"/>
  <c r="F95" i="27" s="1"/>
  <c r="L7" i="9"/>
  <c r="L8"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K14" i="9"/>
  <c r="K15" i="9"/>
  <c r="K16" i="9"/>
  <c r="M14" i="9"/>
  <c r="M15" i="9"/>
  <c r="M16" i="9"/>
  <c r="K7" i="15"/>
  <c r="K6" i="15"/>
  <c r="K5" i="15"/>
  <c r="K4" i="15"/>
  <c r="H7" i="15"/>
  <c r="G7" i="15"/>
  <c r="H6" i="15"/>
  <c r="G6" i="15"/>
  <c r="H5" i="15"/>
  <c r="G5" i="15"/>
  <c r="H4" i="15"/>
  <c r="G4" i="15"/>
  <c r="G91" i="28" l="1"/>
  <c r="F95" i="28"/>
  <c r="H63" i="28"/>
  <c r="G63" i="28"/>
  <c r="G36" i="28"/>
  <c r="F7" i="15"/>
  <c r="E6" i="15"/>
  <c r="H36" i="27"/>
  <c r="F6" i="15" s="1"/>
  <c r="M5" i="15" l="1"/>
  <c r="M4" i="15"/>
  <c r="M6" i="15"/>
  <c r="M7" i="15"/>
  <c r="C5" i="17" l="1"/>
  <c r="C6" i="17"/>
  <c r="C4" i="17"/>
  <c r="C3" i="17"/>
  <c r="AO62" i="9" l="1"/>
  <c r="AO53" i="9"/>
  <c r="AP53" i="9" s="1"/>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6" i="9"/>
  <c r="Q7" i="9" l="1"/>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62" i="9"/>
  <c r="Q63" i="9"/>
  <c r="Q64" i="9"/>
  <c r="Q65" i="9"/>
  <c r="Q66" i="9"/>
  <c r="Q67" i="9"/>
  <c r="Q68" i="9"/>
  <c r="Q69" i="9"/>
  <c r="Q70" i="9"/>
  <c r="Q71" i="9"/>
  <c r="Q72" i="9"/>
  <c r="Q73" i="9"/>
  <c r="Q74" i="9"/>
  <c r="Q75" i="9"/>
  <c r="Q76" i="9"/>
  <c r="Q77" i="9"/>
  <c r="Q78" i="9"/>
  <c r="Q79" i="9"/>
  <c r="Q80" i="9"/>
  <c r="Q81" i="9"/>
  <c r="Q82" i="9"/>
  <c r="Q83" i="9"/>
  <c r="Q84" i="9"/>
  <c r="Q85" i="9"/>
  <c r="Q86" i="9"/>
  <c r="Q87" i="9"/>
  <c r="Q88" i="9"/>
  <c r="Q89" i="9"/>
  <c r="Q90" i="9"/>
  <c r="Q6" i="9"/>
  <c r="O35" i="9" l="1"/>
  <c r="R35" i="9" s="1"/>
  <c r="S35" i="9" s="1"/>
  <c r="T35" i="9" s="1"/>
  <c r="U35" i="9" s="1"/>
  <c r="O36" i="9"/>
  <c r="R36" i="9" s="1"/>
  <c r="S36" i="9" s="1"/>
  <c r="T36" i="9" s="1"/>
  <c r="U36" i="9" s="1"/>
  <c r="O37" i="9"/>
  <c r="R37" i="9" s="1"/>
  <c r="S37" i="9" s="1"/>
  <c r="T37" i="9" s="1"/>
  <c r="U37" i="9" s="1"/>
  <c r="O39" i="9"/>
  <c r="R39" i="9" s="1"/>
  <c r="S39" i="9" s="1"/>
  <c r="T39" i="9" s="1"/>
  <c r="U39" i="9" s="1"/>
  <c r="O42" i="9"/>
  <c r="R42" i="9" s="1"/>
  <c r="S42" i="9" s="1"/>
  <c r="T42" i="9" s="1"/>
  <c r="U42" i="9" s="1"/>
  <c r="O43" i="9"/>
  <c r="R43" i="9" s="1"/>
  <c r="S43" i="9" s="1"/>
  <c r="T43" i="9" s="1"/>
  <c r="U43" i="9" s="1"/>
  <c r="O44" i="9"/>
  <c r="R44" i="9" s="1"/>
  <c r="S44" i="9" s="1"/>
  <c r="T44" i="9" s="1"/>
  <c r="U44" i="9" s="1"/>
  <c r="O45" i="9"/>
  <c r="R45" i="9" s="1"/>
  <c r="S45" i="9" s="1"/>
  <c r="T45" i="9" s="1"/>
  <c r="U45" i="9" s="1"/>
  <c r="O47" i="9"/>
  <c r="R47" i="9" s="1"/>
  <c r="S47" i="9" s="1"/>
  <c r="T47" i="9" s="1"/>
  <c r="U47" i="9" s="1"/>
  <c r="O48" i="9"/>
  <c r="R48" i="9" s="1"/>
  <c r="S48" i="9" s="1"/>
  <c r="T48" i="9" s="1"/>
  <c r="U48" i="9" s="1"/>
  <c r="O49" i="9"/>
  <c r="R49" i="9" s="1"/>
  <c r="S49" i="9" s="1"/>
  <c r="T49" i="9" s="1"/>
  <c r="U49" i="9" s="1"/>
  <c r="O50" i="9"/>
  <c r="R50" i="9" s="1"/>
  <c r="S50" i="9" s="1"/>
  <c r="T50" i="9" s="1"/>
  <c r="U50" i="9" s="1"/>
  <c r="O51" i="9"/>
  <c r="R51" i="9" s="1"/>
  <c r="S51" i="9" s="1"/>
  <c r="T51" i="9" s="1"/>
  <c r="U51" i="9" s="1"/>
  <c r="O53" i="9"/>
  <c r="R53" i="9" s="1"/>
  <c r="S53" i="9" s="1"/>
  <c r="T53" i="9" s="1"/>
  <c r="U53" i="9" s="1"/>
  <c r="O54" i="9"/>
  <c r="R54" i="9" s="1"/>
  <c r="S54" i="9" s="1"/>
  <c r="T54" i="9" s="1"/>
  <c r="U54" i="9" s="1"/>
  <c r="O55" i="9"/>
  <c r="R55" i="9" s="1"/>
  <c r="S55" i="9" s="1"/>
  <c r="T55" i="9" s="1"/>
  <c r="U55" i="9" s="1"/>
  <c r="O57" i="9"/>
  <c r="R57" i="9" s="1"/>
  <c r="S57" i="9" s="1"/>
  <c r="T57" i="9" s="1"/>
  <c r="U57" i="9" s="1"/>
  <c r="O61" i="9"/>
  <c r="R61" i="9" s="1"/>
  <c r="S61" i="9" s="1"/>
  <c r="T61" i="9" s="1"/>
  <c r="U61" i="9" s="1"/>
  <c r="O64" i="9"/>
  <c r="R64" i="9" s="1"/>
  <c r="S64" i="9" s="1"/>
  <c r="T64" i="9" s="1"/>
  <c r="U64" i="9" s="1"/>
  <c r="O66" i="9"/>
  <c r="R66" i="9" s="1"/>
  <c r="S66" i="9" s="1"/>
  <c r="T66" i="9" s="1"/>
  <c r="U66" i="9" s="1"/>
  <c r="O67" i="9"/>
  <c r="R67" i="9" s="1"/>
  <c r="S67" i="9" s="1"/>
  <c r="T67" i="9" s="1"/>
  <c r="U67" i="9" s="1"/>
  <c r="O69" i="9"/>
  <c r="R69" i="9" s="1"/>
  <c r="S69" i="9" s="1"/>
  <c r="T69" i="9" s="1"/>
  <c r="U69" i="9" s="1"/>
  <c r="O70" i="9"/>
  <c r="R70" i="9" s="1"/>
  <c r="S70" i="9" s="1"/>
  <c r="T70" i="9" s="1"/>
  <c r="U70" i="9" s="1"/>
  <c r="O71" i="9"/>
  <c r="R71" i="9" s="1"/>
  <c r="S71" i="9" s="1"/>
  <c r="T71" i="9" s="1"/>
  <c r="U71" i="9" s="1"/>
  <c r="O72" i="9"/>
  <c r="R72" i="9" s="1"/>
  <c r="S72" i="9" s="1"/>
  <c r="T72" i="9" s="1"/>
  <c r="U72" i="9" s="1"/>
  <c r="O73" i="9"/>
  <c r="R73" i="9" s="1"/>
  <c r="S73" i="9" s="1"/>
  <c r="T73" i="9" s="1"/>
  <c r="U73" i="9" s="1"/>
  <c r="O75" i="9"/>
  <c r="R75" i="9" s="1"/>
  <c r="S75" i="9" s="1"/>
  <c r="T75" i="9" s="1"/>
  <c r="U75" i="9" s="1"/>
  <c r="O79" i="9"/>
  <c r="S79" i="9"/>
  <c r="T79" i="9" s="1"/>
  <c r="U79" i="9" s="1"/>
  <c r="O80" i="9"/>
  <c r="R80" i="9" s="1"/>
  <c r="S80" i="9" s="1"/>
  <c r="T80" i="9" s="1"/>
  <c r="U80" i="9" s="1"/>
  <c r="O81" i="9"/>
  <c r="R81" i="9" s="1"/>
  <c r="S81" i="9" s="1"/>
  <c r="T81" i="9" s="1"/>
  <c r="U81" i="9" s="1"/>
  <c r="O86" i="9"/>
  <c r="R86" i="9" s="1"/>
  <c r="S86" i="9" s="1"/>
  <c r="T86" i="9" s="1"/>
  <c r="U86" i="9" s="1"/>
  <c r="O89" i="9"/>
  <c r="R89" i="9" s="1"/>
  <c r="S89" i="9" s="1"/>
  <c r="T89" i="9" s="1"/>
  <c r="U89" i="9" s="1"/>
  <c r="O33" i="9"/>
  <c r="R33" i="9" s="1"/>
  <c r="S33" i="9" s="1"/>
  <c r="T33" i="9" s="1"/>
  <c r="U33" i="9" s="1"/>
  <c r="O11" i="9"/>
  <c r="R11" i="9" s="1"/>
  <c r="O34" i="9"/>
  <c r="R34" i="9" s="1"/>
  <c r="S34" i="9" s="1"/>
  <c r="T34" i="9" s="1"/>
  <c r="U34" i="9" s="1"/>
  <c r="O9" i="9"/>
  <c r="R9" i="9" s="1"/>
  <c r="S9" i="9" s="1"/>
  <c r="T9" i="9" s="1"/>
  <c r="U9" i="9" s="1"/>
  <c r="O7" i="9"/>
  <c r="O8" i="9"/>
  <c r="R8" i="9" s="1"/>
  <c r="S8" i="9" s="1"/>
  <c r="T8" i="9" s="1"/>
  <c r="U8" i="9" s="1"/>
  <c r="O10" i="9"/>
  <c r="R10" i="9" s="1"/>
  <c r="S10" i="9" s="1"/>
  <c r="T10" i="9" s="1"/>
  <c r="U10" i="9" s="1"/>
  <c r="O12" i="9"/>
  <c r="R12" i="9" s="1"/>
  <c r="S12" i="9" s="1"/>
  <c r="T12" i="9" s="1"/>
  <c r="U12" i="9" s="1"/>
  <c r="O13" i="9"/>
  <c r="R13" i="9" s="1"/>
  <c r="S13" i="9" s="1"/>
  <c r="T13" i="9" s="1"/>
  <c r="U13" i="9" s="1"/>
  <c r="O14" i="9"/>
  <c r="R14" i="9" s="1"/>
  <c r="S14" i="9" s="1"/>
  <c r="T14" i="9" s="1"/>
  <c r="U14" i="9" s="1"/>
  <c r="O15" i="9"/>
  <c r="R15" i="9" s="1"/>
  <c r="S15" i="9" s="1"/>
  <c r="T15" i="9" s="1"/>
  <c r="U15" i="9" s="1"/>
  <c r="O16" i="9"/>
  <c r="R16" i="9" s="1"/>
  <c r="S16" i="9" s="1"/>
  <c r="T16" i="9" s="1"/>
  <c r="U16" i="9" s="1"/>
  <c r="O17" i="9"/>
  <c r="R17" i="9" s="1"/>
  <c r="S17" i="9" s="1"/>
  <c r="T17" i="9" s="1"/>
  <c r="U17" i="9" s="1"/>
  <c r="O18" i="9"/>
  <c r="R18" i="9" s="1"/>
  <c r="S18" i="9" s="1"/>
  <c r="T18" i="9" s="1"/>
  <c r="U18" i="9" s="1"/>
  <c r="O19" i="9"/>
  <c r="R19" i="9" s="1"/>
  <c r="S19" i="9" s="1"/>
  <c r="T19" i="9" s="1"/>
  <c r="U19" i="9" s="1"/>
  <c r="O20" i="9"/>
  <c r="R20" i="9" s="1"/>
  <c r="S20" i="9" s="1"/>
  <c r="T20" i="9" s="1"/>
  <c r="U20" i="9" s="1"/>
  <c r="O21" i="9"/>
  <c r="R21" i="9" s="1"/>
  <c r="S21" i="9" s="1"/>
  <c r="T21" i="9" s="1"/>
  <c r="U21" i="9" s="1"/>
  <c r="O22" i="9"/>
  <c r="R22" i="9" s="1"/>
  <c r="S22" i="9" s="1"/>
  <c r="T22" i="9" s="1"/>
  <c r="U22" i="9" s="1"/>
  <c r="O23" i="9"/>
  <c r="R23" i="9" s="1"/>
  <c r="S23" i="9" s="1"/>
  <c r="T23" i="9" s="1"/>
  <c r="U23" i="9" s="1"/>
  <c r="O24" i="9"/>
  <c r="R24" i="9" s="1"/>
  <c r="S24" i="9" s="1"/>
  <c r="T24" i="9" s="1"/>
  <c r="U24" i="9" s="1"/>
  <c r="O25" i="9"/>
  <c r="R25" i="9" s="1"/>
  <c r="S25" i="9" s="1"/>
  <c r="T25" i="9" s="1"/>
  <c r="U25" i="9" s="1"/>
  <c r="O26" i="9"/>
  <c r="R26" i="9" s="1"/>
  <c r="S26" i="9" s="1"/>
  <c r="T26" i="9" s="1"/>
  <c r="U26" i="9" s="1"/>
  <c r="O27" i="9"/>
  <c r="R27" i="9" s="1"/>
  <c r="S27" i="9" s="1"/>
  <c r="T27" i="9" s="1"/>
  <c r="U27" i="9" s="1"/>
  <c r="O28" i="9"/>
  <c r="R28" i="9" s="1"/>
  <c r="S28" i="9" s="1"/>
  <c r="T28" i="9" s="1"/>
  <c r="U28" i="9" s="1"/>
  <c r="O29" i="9"/>
  <c r="R29" i="9" s="1"/>
  <c r="S29" i="9" s="1"/>
  <c r="T29" i="9" s="1"/>
  <c r="U29" i="9" s="1"/>
  <c r="O30" i="9"/>
  <c r="R30" i="9" s="1"/>
  <c r="S30" i="9" s="1"/>
  <c r="T30" i="9" s="1"/>
  <c r="U30" i="9" s="1"/>
  <c r="O31" i="9"/>
  <c r="R31" i="9" s="1"/>
  <c r="S31" i="9" s="1"/>
  <c r="T31" i="9" s="1"/>
  <c r="U31" i="9" s="1"/>
  <c r="O32" i="9"/>
  <c r="R32" i="9" s="1"/>
  <c r="S32" i="9" s="1"/>
  <c r="T32" i="9" s="1"/>
  <c r="U32" i="9" s="1"/>
  <c r="O38" i="9"/>
  <c r="R38" i="9" s="1"/>
  <c r="S38" i="9" s="1"/>
  <c r="T38" i="9" s="1"/>
  <c r="U38" i="9" s="1"/>
  <c r="O40" i="9"/>
  <c r="R40" i="9" s="1"/>
  <c r="S40" i="9" s="1"/>
  <c r="T40" i="9" s="1"/>
  <c r="U40" i="9" s="1"/>
  <c r="O41" i="9"/>
  <c r="R41" i="9" s="1"/>
  <c r="S41" i="9" s="1"/>
  <c r="T41" i="9" s="1"/>
  <c r="U41" i="9" s="1"/>
  <c r="O46" i="9"/>
  <c r="R46" i="9" s="1"/>
  <c r="S46" i="9" s="1"/>
  <c r="T46" i="9" s="1"/>
  <c r="U46" i="9" s="1"/>
  <c r="O52" i="9"/>
  <c r="R52" i="9" s="1"/>
  <c r="S52" i="9" s="1"/>
  <c r="T52" i="9" s="1"/>
  <c r="U52" i="9" s="1"/>
  <c r="O56" i="9"/>
  <c r="R56" i="9" s="1"/>
  <c r="S56" i="9" s="1"/>
  <c r="T56" i="9" s="1"/>
  <c r="U56" i="9" s="1"/>
  <c r="O58" i="9"/>
  <c r="R58" i="9" s="1"/>
  <c r="S58" i="9" s="1"/>
  <c r="T58" i="9" s="1"/>
  <c r="U58" i="9" s="1"/>
  <c r="O59" i="9"/>
  <c r="R59" i="9" s="1"/>
  <c r="S59" i="9" s="1"/>
  <c r="T59" i="9" s="1"/>
  <c r="U59" i="9" s="1"/>
  <c r="O60" i="9"/>
  <c r="R60" i="9" s="1"/>
  <c r="S60" i="9" s="1"/>
  <c r="T60" i="9" s="1"/>
  <c r="U60" i="9" s="1"/>
  <c r="O62" i="9"/>
  <c r="R62" i="9" s="1"/>
  <c r="S62" i="9" s="1"/>
  <c r="T62" i="9" s="1"/>
  <c r="U62" i="9" s="1"/>
  <c r="O63" i="9"/>
  <c r="R63" i="9" s="1"/>
  <c r="S63" i="9" s="1"/>
  <c r="T63" i="9" s="1"/>
  <c r="U63" i="9" s="1"/>
  <c r="O65" i="9"/>
  <c r="R65" i="9" s="1"/>
  <c r="S65" i="9" s="1"/>
  <c r="T65" i="9" s="1"/>
  <c r="U65" i="9" s="1"/>
  <c r="O68" i="9"/>
  <c r="R68" i="9" s="1"/>
  <c r="S68" i="9" s="1"/>
  <c r="T68" i="9" s="1"/>
  <c r="U68" i="9" s="1"/>
  <c r="O74" i="9"/>
  <c r="R74" i="9" s="1"/>
  <c r="S74" i="9" s="1"/>
  <c r="T74" i="9" s="1"/>
  <c r="U74" i="9" s="1"/>
  <c r="O76" i="9"/>
  <c r="R76" i="9" s="1"/>
  <c r="S76" i="9" s="1"/>
  <c r="T76" i="9" s="1"/>
  <c r="U76" i="9" s="1"/>
  <c r="O77" i="9"/>
  <c r="R77" i="9" s="1"/>
  <c r="S77" i="9" s="1"/>
  <c r="T77" i="9" s="1"/>
  <c r="U77" i="9" s="1"/>
  <c r="O78" i="9"/>
  <c r="R78" i="9" s="1"/>
  <c r="S78" i="9" s="1"/>
  <c r="T78" i="9" s="1"/>
  <c r="U78" i="9" s="1"/>
  <c r="O82" i="9"/>
  <c r="R82" i="9" s="1"/>
  <c r="S82" i="9" s="1"/>
  <c r="T82" i="9" s="1"/>
  <c r="U82" i="9" s="1"/>
  <c r="O83" i="9"/>
  <c r="R83" i="9" s="1"/>
  <c r="S83" i="9" s="1"/>
  <c r="T83" i="9" s="1"/>
  <c r="U83" i="9" s="1"/>
  <c r="O84" i="9"/>
  <c r="R84" i="9" s="1"/>
  <c r="S84" i="9" s="1"/>
  <c r="T84" i="9" s="1"/>
  <c r="U84" i="9" s="1"/>
  <c r="O85" i="9"/>
  <c r="R85" i="9" s="1"/>
  <c r="S85" i="9" s="1"/>
  <c r="T85" i="9" s="1"/>
  <c r="U85" i="9" s="1"/>
  <c r="O87" i="9"/>
  <c r="R87" i="9" s="1"/>
  <c r="S87" i="9" s="1"/>
  <c r="T87" i="9" s="1"/>
  <c r="U87" i="9" s="1"/>
  <c r="O88" i="9"/>
  <c r="R88" i="9" s="1"/>
  <c r="S88" i="9" s="1"/>
  <c r="T88" i="9" s="1"/>
  <c r="U88" i="9" s="1"/>
  <c r="O90" i="9"/>
  <c r="R90" i="9" s="1"/>
  <c r="S90" i="9" s="1"/>
  <c r="T90" i="9" s="1"/>
  <c r="U90" i="9" s="1"/>
  <c r="R7" i="9"/>
  <c r="S7" i="9" s="1"/>
  <c r="T7" i="9" s="1"/>
  <c r="U7" i="9" s="1"/>
  <c r="S11" i="9"/>
  <c r="T11" i="9" s="1"/>
  <c r="U11" i="9" s="1"/>
  <c r="O6" i="9"/>
  <c r="R6" i="9" s="1"/>
  <c r="S6" i="9" s="1"/>
  <c r="T6" i="9" s="1"/>
  <c r="U6" i="9" s="1"/>
  <c r="AK6" i="9"/>
  <c r="AP6" i="9"/>
  <c r="AQ6" i="9" s="1"/>
  <c r="AK7" i="9"/>
  <c r="AP7" i="9"/>
  <c r="AQ7" i="9" s="1"/>
  <c r="AK8" i="9"/>
  <c r="AP8" i="9"/>
  <c r="AQ8" i="9" s="1"/>
  <c r="AK9" i="9"/>
  <c r="AP9" i="9"/>
  <c r="AQ9" i="9" s="1"/>
  <c r="AK10" i="9"/>
  <c r="AP10" i="9"/>
  <c r="AQ10" i="9" s="1"/>
  <c r="AK11" i="9"/>
  <c r="AP11" i="9"/>
  <c r="AQ11" i="9" s="1"/>
  <c r="AK12" i="9"/>
  <c r="AP12" i="9"/>
  <c r="AQ12" i="9" s="1"/>
  <c r="AK13" i="9"/>
  <c r="AP13" i="9"/>
  <c r="AQ13" i="9" s="1"/>
  <c r="AK14" i="9"/>
  <c r="AP14" i="9"/>
  <c r="AQ14" i="9" s="1"/>
  <c r="AK15" i="9"/>
  <c r="AP15" i="9"/>
  <c r="AQ15" i="9" s="1"/>
  <c r="AK16" i="9"/>
  <c r="AP16" i="9"/>
  <c r="AQ16" i="9" s="1"/>
  <c r="AK17" i="9"/>
  <c r="AP17" i="9"/>
  <c r="AQ17" i="9" s="1"/>
  <c r="AK18" i="9"/>
  <c r="AP18" i="9"/>
  <c r="AQ18" i="9" s="1"/>
  <c r="AK19" i="9"/>
  <c r="AP19" i="9"/>
  <c r="AQ19" i="9" s="1"/>
  <c r="AK20" i="9"/>
  <c r="AP20" i="9"/>
  <c r="AQ20" i="9" s="1"/>
  <c r="AK21" i="9"/>
  <c r="AP21" i="9"/>
  <c r="AQ21" i="9" s="1"/>
  <c r="AK22" i="9"/>
  <c r="AP22" i="9"/>
  <c r="AQ22" i="9" s="1"/>
  <c r="AK23" i="9"/>
  <c r="AP23" i="9"/>
  <c r="AQ23" i="9" s="1"/>
  <c r="AK24" i="9"/>
  <c r="AP24" i="9"/>
  <c r="AQ24" i="9" s="1"/>
  <c r="AK25" i="9"/>
  <c r="AP25" i="9"/>
  <c r="AQ25" i="9" s="1"/>
  <c r="AK26" i="9"/>
  <c r="AP26" i="9"/>
  <c r="AQ26" i="9" s="1"/>
  <c r="AK27" i="9"/>
  <c r="AP27" i="9"/>
  <c r="AQ27" i="9" s="1"/>
  <c r="AK28" i="9"/>
  <c r="AP28" i="9"/>
  <c r="AQ28" i="9" s="1"/>
  <c r="AK29" i="9"/>
  <c r="AP29" i="9"/>
  <c r="AQ29" i="9" s="1"/>
  <c r="AK30" i="9"/>
  <c r="AP30" i="9"/>
  <c r="AQ30" i="9" s="1"/>
  <c r="AK31" i="9"/>
  <c r="AP31" i="9"/>
  <c r="AQ31" i="9" s="1"/>
  <c r="AK32" i="9"/>
  <c r="AP32" i="9"/>
  <c r="AQ32" i="9" s="1"/>
  <c r="AK33" i="9"/>
  <c r="AP33" i="9"/>
  <c r="AQ33" i="9" s="1"/>
  <c r="AK34" i="9"/>
  <c r="AP34" i="9"/>
  <c r="AQ34" i="9" s="1"/>
  <c r="AK35" i="9"/>
  <c r="AP35" i="9"/>
  <c r="AQ35" i="9" s="1"/>
  <c r="AK36" i="9"/>
  <c r="AP36" i="9"/>
  <c r="AQ36" i="9" s="1"/>
  <c r="AK37" i="9"/>
  <c r="AP37" i="9"/>
  <c r="AQ37" i="9" s="1"/>
  <c r="AK38" i="9"/>
  <c r="AP38" i="9"/>
  <c r="AQ38" i="9" s="1"/>
  <c r="AK39" i="9"/>
  <c r="AP39" i="9"/>
  <c r="AQ39" i="9" s="1"/>
  <c r="AK40" i="9"/>
  <c r="AP40" i="9"/>
  <c r="AQ40" i="9" s="1"/>
  <c r="AK41" i="9"/>
  <c r="AP41" i="9"/>
  <c r="AQ41" i="9" s="1"/>
  <c r="AK42" i="9"/>
  <c r="AP42" i="9"/>
  <c r="AQ42" i="9" s="1"/>
  <c r="AK43" i="9"/>
  <c r="AP43" i="9"/>
  <c r="AQ43" i="9" s="1"/>
  <c r="AK44" i="9"/>
  <c r="AP44" i="9"/>
  <c r="AQ44" i="9" s="1"/>
  <c r="AK45" i="9"/>
  <c r="AP45" i="9"/>
  <c r="AQ45" i="9" s="1"/>
  <c r="AK46" i="9"/>
  <c r="AP46" i="9"/>
  <c r="AQ46" i="9" s="1"/>
  <c r="AK47" i="9"/>
  <c r="AP47" i="9"/>
  <c r="AQ47" i="9" s="1"/>
  <c r="AK48" i="9"/>
  <c r="AP48" i="9"/>
  <c r="AQ48" i="9" s="1"/>
  <c r="AK49" i="9"/>
  <c r="AP49" i="9"/>
  <c r="AQ49" i="9" s="1"/>
  <c r="AK50" i="9"/>
  <c r="AP50" i="9"/>
  <c r="AQ50" i="9" s="1"/>
  <c r="AK51" i="9"/>
  <c r="AP51" i="9"/>
  <c r="AQ51" i="9" s="1"/>
  <c r="AK52" i="9"/>
  <c r="AP52" i="9"/>
  <c r="AQ52" i="9" s="1"/>
  <c r="AK53" i="9"/>
  <c r="AQ53" i="9"/>
  <c r="AK54" i="9"/>
  <c r="AP54" i="9"/>
  <c r="AQ54" i="9" s="1"/>
  <c r="AK55" i="9"/>
  <c r="AP55" i="9"/>
  <c r="AQ55" i="9" s="1"/>
  <c r="AK56" i="9"/>
  <c r="AP56" i="9"/>
  <c r="AQ56" i="9" s="1"/>
  <c r="AK57" i="9"/>
  <c r="AP57" i="9"/>
  <c r="AQ57" i="9" s="1"/>
  <c r="AK58" i="9"/>
  <c r="AP58" i="9"/>
  <c r="AQ58" i="9" s="1"/>
  <c r="AK59" i="9"/>
  <c r="AP59" i="9"/>
  <c r="AQ59" i="9" s="1"/>
  <c r="AK60" i="9"/>
  <c r="AP60" i="9"/>
  <c r="AQ60" i="9" s="1"/>
  <c r="AK61" i="9"/>
  <c r="AP61" i="9"/>
  <c r="AQ61" i="9" s="1"/>
  <c r="AK62" i="9"/>
  <c r="AP62" i="9"/>
  <c r="AQ62" i="9" s="1"/>
  <c r="AK63" i="9"/>
  <c r="AP63" i="9"/>
  <c r="AQ63" i="9" s="1"/>
  <c r="AK64" i="9"/>
  <c r="AP64" i="9"/>
  <c r="AQ64" i="9" s="1"/>
  <c r="AK65" i="9"/>
  <c r="AP65" i="9"/>
  <c r="AQ65" i="9" s="1"/>
  <c r="AK66" i="9"/>
  <c r="AP66" i="9"/>
  <c r="AQ66" i="9" s="1"/>
  <c r="AK67" i="9"/>
  <c r="AP67" i="9"/>
  <c r="AQ67" i="9" s="1"/>
  <c r="AK68" i="9"/>
  <c r="AP68" i="9"/>
  <c r="AQ68" i="9" s="1"/>
  <c r="AK69" i="9"/>
  <c r="AP69" i="9"/>
  <c r="AQ69" i="9" s="1"/>
  <c r="AK70" i="9"/>
  <c r="AP70" i="9"/>
  <c r="AQ70" i="9" s="1"/>
  <c r="AK71" i="9"/>
  <c r="AP71" i="9"/>
  <c r="AQ71" i="9" s="1"/>
  <c r="AK72" i="9"/>
  <c r="AP72" i="9"/>
  <c r="AQ72" i="9" s="1"/>
  <c r="AK73" i="9"/>
  <c r="AP73" i="9"/>
  <c r="AQ73" i="9" s="1"/>
  <c r="AK74" i="9"/>
  <c r="AP74" i="9"/>
  <c r="AQ74" i="9" s="1"/>
  <c r="AK75" i="9"/>
  <c r="AP75" i="9"/>
  <c r="AQ75" i="9" s="1"/>
  <c r="AK76" i="9"/>
  <c r="AP76" i="9"/>
  <c r="AQ76" i="9" s="1"/>
  <c r="AK77" i="9"/>
  <c r="AP77" i="9"/>
  <c r="AQ77" i="9" s="1"/>
  <c r="AK78" i="9"/>
  <c r="AP78" i="9"/>
  <c r="AQ78" i="9" s="1"/>
  <c r="AK79" i="9"/>
  <c r="AP79" i="9"/>
  <c r="AQ79" i="9" s="1"/>
  <c r="AK80" i="9"/>
  <c r="AP80" i="9"/>
  <c r="AQ80" i="9" s="1"/>
  <c r="AK81" i="9"/>
  <c r="AP81" i="9"/>
  <c r="AQ81" i="9" s="1"/>
  <c r="AK82" i="9"/>
  <c r="AP82" i="9"/>
  <c r="AQ82" i="9" s="1"/>
  <c r="AK83" i="9"/>
  <c r="AP83" i="9"/>
  <c r="AQ83" i="9" s="1"/>
  <c r="AK84" i="9"/>
  <c r="AP84" i="9"/>
  <c r="AQ84" i="9" s="1"/>
  <c r="AK85" i="9"/>
  <c r="AP85" i="9"/>
  <c r="AQ85" i="9" s="1"/>
  <c r="AK86" i="9"/>
  <c r="AP86" i="9"/>
  <c r="AQ86" i="9" s="1"/>
  <c r="AK87" i="9"/>
  <c r="AP87" i="9"/>
  <c r="AQ87" i="9" s="1"/>
  <c r="AK88" i="9"/>
  <c r="AP88" i="9"/>
  <c r="AQ88" i="9" s="1"/>
  <c r="AK89" i="9"/>
  <c r="AP89" i="9"/>
  <c r="AQ89" i="9" s="1"/>
  <c r="AK90" i="9"/>
  <c r="AP90" i="9"/>
  <c r="AQ90" i="9" s="1"/>
  <c r="M7" i="9"/>
  <c r="W7" i="9" s="1"/>
  <c r="X7" i="9" s="1"/>
  <c r="M8" i="9"/>
  <c r="M9" i="9"/>
  <c r="M10" i="9"/>
  <c r="M11" i="9"/>
  <c r="M12" i="9"/>
  <c r="M13" i="9"/>
  <c r="W13" i="9" s="1"/>
  <c r="X13" i="9" s="1"/>
  <c r="W14" i="9"/>
  <c r="X14" i="9" s="1"/>
  <c r="M17" i="9"/>
  <c r="W17" i="9" s="1"/>
  <c r="X17" i="9" s="1"/>
  <c r="M18" i="9"/>
  <c r="M19" i="9"/>
  <c r="M20" i="9"/>
  <c r="M21" i="9"/>
  <c r="W21" i="9" s="1"/>
  <c r="X21" i="9" s="1"/>
  <c r="M22" i="9"/>
  <c r="W22" i="9" s="1"/>
  <c r="X22" i="9" s="1"/>
  <c r="M23" i="9"/>
  <c r="M24" i="9"/>
  <c r="M25" i="9"/>
  <c r="W25" i="9" s="1"/>
  <c r="X25" i="9" s="1"/>
  <c r="M26" i="9"/>
  <c r="M27" i="9"/>
  <c r="M28" i="9"/>
  <c r="M29" i="9"/>
  <c r="W29" i="9" s="1"/>
  <c r="X29" i="9" s="1"/>
  <c r="M30" i="9"/>
  <c r="W30" i="9" s="1"/>
  <c r="X30" i="9" s="1"/>
  <c r="M31" i="9"/>
  <c r="M32" i="9"/>
  <c r="M33" i="9"/>
  <c r="W33" i="9" s="1"/>
  <c r="X33" i="9" s="1"/>
  <c r="M34" i="9"/>
  <c r="M35" i="9"/>
  <c r="W35" i="9" s="1"/>
  <c r="X35" i="9" s="1"/>
  <c r="M36" i="9"/>
  <c r="M37" i="9"/>
  <c r="W37" i="9" s="1"/>
  <c r="X37" i="9" s="1"/>
  <c r="M38" i="9"/>
  <c r="W38" i="9" s="1"/>
  <c r="X38" i="9" s="1"/>
  <c r="M39" i="9"/>
  <c r="M40" i="9"/>
  <c r="M41" i="9"/>
  <c r="W41" i="9" s="1"/>
  <c r="X41" i="9" s="1"/>
  <c r="M42" i="9"/>
  <c r="M43" i="9"/>
  <c r="M44" i="9"/>
  <c r="M45" i="9"/>
  <c r="W45" i="9" s="1"/>
  <c r="X45" i="9" s="1"/>
  <c r="M46" i="9"/>
  <c r="M47" i="9"/>
  <c r="M48" i="9"/>
  <c r="M49" i="9"/>
  <c r="W49" i="9" s="1"/>
  <c r="X49" i="9" s="1"/>
  <c r="M50" i="9"/>
  <c r="M51" i="9"/>
  <c r="M52" i="9"/>
  <c r="M53" i="9"/>
  <c r="W53" i="9" s="1"/>
  <c r="X53" i="9" s="1"/>
  <c r="M54" i="9"/>
  <c r="W54" i="9" s="1"/>
  <c r="X54" i="9" s="1"/>
  <c r="M55" i="9"/>
  <c r="M56" i="9"/>
  <c r="M57" i="9"/>
  <c r="M58" i="9"/>
  <c r="M59" i="9"/>
  <c r="W59" i="9" s="1"/>
  <c r="X59" i="9" s="1"/>
  <c r="M60" i="9"/>
  <c r="M61" i="9"/>
  <c r="W61" i="9" s="1"/>
  <c r="X61" i="9" s="1"/>
  <c r="M62" i="9"/>
  <c r="W62" i="9" s="1"/>
  <c r="X62" i="9" s="1"/>
  <c r="M63" i="9"/>
  <c r="M64" i="9"/>
  <c r="M65" i="9"/>
  <c r="M66" i="9"/>
  <c r="M67" i="9"/>
  <c r="M68" i="9"/>
  <c r="M69" i="9"/>
  <c r="W69" i="9" s="1"/>
  <c r="X69" i="9" s="1"/>
  <c r="M70" i="9"/>
  <c r="M71" i="9"/>
  <c r="M72" i="9"/>
  <c r="M73" i="9"/>
  <c r="W73" i="9" s="1"/>
  <c r="X73" i="9" s="1"/>
  <c r="M74" i="9"/>
  <c r="M75" i="9"/>
  <c r="W75" i="9" s="1"/>
  <c r="X75" i="9" s="1"/>
  <c r="M76" i="9"/>
  <c r="M77" i="9"/>
  <c r="M78" i="9"/>
  <c r="W78" i="9" s="1"/>
  <c r="X78" i="9" s="1"/>
  <c r="M79" i="9"/>
  <c r="M80" i="9"/>
  <c r="M81" i="9"/>
  <c r="W81" i="9" s="1"/>
  <c r="X81" i="9" s="1"/>
  <c r="M82" i="9"/>
  <c r="M83" i="9"/>
  <c r="M84" i="9"/>
  <c r="M85" i="9"/>
  <c r="W85" i="9" s="1"/>
  <c r="X85" i="9" s="1"/>
  <c r="M86" i="9"/>
  <c r="W86" i="9" s="1"/>
  <c r="X86" i="9" s="1"/>
  <c r="M87" i="9"/>
  <c r="M88" i="9"/>
  <c r="M89" i="9"/>
  <c r="M90" i="9"/>
  <c r="L6" i="9"/>
  <c r="M6" i="9" s="1"/>
  <c r="K7" i="9"/>
  <c r="K8" i="9"/>
  <c r="K9" i="9"/>
  <c r="K10" i="9"/>
  <c r="K11" i="9"/>
  <c r="K12" i="9"/>
  <c r="K13"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6" i="9"/>
  <c r="B9" i="21"/>
  <c r="L5" i="15"/>
  <c r="D4" i="17" s="1"/>
  <c r="L6" i="15"/>
  <c r="D5" i="17" s="1"/>
  <c r="L7" i="15"/>
  <c r="D6" i="17" s="1"/>
  <c r="I5" i="15"/>
  <c r="I6" i="15"/>
  <c r="I7" i="15"/>
  <c r="L4" i="15"/>
  <c r="D3" i="17" s="1"/>
  <c r="I4" i="15"/>
  <c r="W83" i="9" l="1"/>
  <c r="X83" i="9" s="1"/>
  <c r="W71" i="9"/>
  <c r="X71" i="9" s="1"/>
  <c r="W39" i="9"/>
  <c r="X39" i="9" s="1"/>
  <c r="W31" i="9"/>
  <c r="X31" i="9" s="1"/>
  <c r="W19" i="9"/>
  <c r="X19" i="9" s="1"/>
  <c r="W15" i="9"/>
  <c r="X15" i="9" s="1"/>
  <c r="W36" i="9"/>
  <c r="X36" i="9" s="1"/>
  <c r="W65" i="9"/>
  <c r="X65" i="9" s="1"/>
  <c r="W70" i="9"/>
  <c r="X70" i="9" s="1"/>
  <c r="W63" i="9"/>
  <c r="X63" i="9" s="1"/>
  <c r="W27" i="9"/>
  <c r="X27" i="9" s="1"/>
  <c r="AM81" i="9"/>
  <c r="AN81" i="9" s="1"/>
  <c r="W10" i="9"/>
  <c r="X10" i="9" s="1"/>
  <c r="W79" i="9"/>
  <c r="X79" i="9" s="1"/>
  <c r="W47" i="9"/>
  <c r="X47" i="9" s="1"/>
  <c r="W20" i="9"/>
  <c r="X20" i="9" s="1"/>
  <c r="W9" i="9"/>
  <c r="X9" i="9" s="1"/>
  <c r="W87" i="9"/>
  <c r="X87" i="9" s="1"/>
  <c r="W55" i="9"/>
  <c r="X55" i="9" s="1"/>
  <c r="W46" i="9"/>
  <c r="X46" i="9" s="1"/>
  <c r="W43" i="9"/>
  <c r="X43" i="9" s="1"/>
  <c r="W23" i="9"/>
  <c r="X23" i="9" s="1"/>
  <c r="W11" i="9"/>
  <c r="X11" i="9" s="1"/>
  <c r="W84" i="9"/>
  <c r="X84" i="9" s="1"/>
  <c r="W67" i="9"/>
  <c r="X67" i="9" s="1"/>
  <c r="W58" i="9"/>
  <c r="X58" i="9" s="1"/>
  <c r="W26" i="9"/>
  <c r="X26" i="9" s="1"/>
  <c r="W89" i="9"/>
  <c r="X89" i="9" s="1"/>
  <c r="W51" i="9"/>
  <c r="X51" i="9" s="1"/>
  <c r="W64" i="9"/>
  <c r="X64" i="9" s="1"/>
  <c r="W90" i="9"/>
  <c r="X90" i="9" s="1"/>
  <c r="W66" i="9"/>
  <c r="X66" i="9" s="1"/>
  <c r="W50" i="9"/>
  <c r="X50" i="9" s="1"/>
  <c r="W42" i="9"/>
  <c r="X42" i="9" s="1"/>
  <c r="W34" i="9"/>
  <c r="X34" i="9" s="1"/>
  <c r="W18" i="9"/>
  <c r="X18" i="9" s="1"/>
  <c r="AM70" i="9"/>
  <c r="AN70" i="9" s="1"/>
  <c r="AM62" i="9"/>
  <c r="AN62" i="9" s="1"/>
  <c r="AM54" i="9"/>
  <c r="AN54" i="9" s="1"/>
  <c r="AM38" i="9"/>
  <c r="AN38" i="9" s="1"/>
  <c r="AM30" i="9"/>
  <c r="AN30" i="9" s="1"/>
  <c r="W6" i="9"/>
  <c r="X6" i="9" s="1"/>
  <c r="W56" i="9"/>
  <c r="X56" i="9" s="1"/>
  <c r="W77" i="9"/>
  <c r="X77" i="9" s="1"/>
  <c r="W68" i="9"/>
  <c r="X68" i="9" s="1"/>
  <c r="W52" i="9"/>
  <c r="X52" i="9" s="1"/>
  <c r="W44" i="9"/>
  <c r="X44" i="9" s="1"/>
  <c r="W28" i="9"/>
  <c r="X28" i="9" s="1"/>
  <c r="W12" i="9"/>
  <c r="X12" i="9" s="1"/>
  <c r="AM75" i="9"/>
  <c r="AN75" i="9" s="1"/>
  <c r="AM22" i="9"/>
  <c r="AN22" i="9" s="1"/>
  <c r="AM14" i="9"/>
  <c r="AN14" i="9" s="1"/>
  <c r="W88" i="9"/>
  <c r="X88" i="9" s="1"/>
  <c r="W80" i="9"/>
  <c r="X80" i="9" s="1"/>
  <c r="W82" i="9"/>
  <c r="X82" i="9" s="1"/>
  <c r="W74" i="9"/>
  <c r="X74" i="9" s="1"/>
  <c r="W76" i="9"/>
  <c r="X76" i="9" s="1"/>
  <c r="W60" i="9"/>
  <c r="X60" i="9" s="1"/>
  <c r="AM85" i="9"/>
  <c r="AN85" i="9" s="1"/>
  <c r="AM83" i="9"/>
  <c r="AN83" i="9" s="1"/>
  <c r="W57" i="9"/>
  <c r="X57" i="9" s="1"/>
  <c r="AM73" i="9"/>
  <c r="AN73" i="9" s="1"/>
  <c r="AM71" i="9"/>
  <c r="AN71" i="9" s="1"/>
  <c r="AM69" i="9"/>
  <c r="AN69" i="9" s="1"/>
  <c r="AM61" i="9"/>
  <c r="AN61" i="9" s="1"/>
  <c r="AM59" i="9"/>
  <c r="AN59" i="9" s="1"/>
  <c r="AM53" i="9"/>
  <c r="AN53" i="9" s="1"/>
  <c r="AM49" i="9"/>
  <c r="AN49" i="9" s="1"/>
  <c r="AM45" i="9"/>
  <c r="AN45" i="9" s="1"/>
  <c r="AM41" i="9"/>
  <c r="AN41" i="9" s="1"/>
  <c r="AM39" i="9"/>
  <c r="AN39" i="9" s="1"/>
  <c r="AM37" i="9"/>
  <c r="AN37" i="9" s="1"/>
  <c r="AM35" i="9"/>
  <c r="AN35" i="9" s="1"/>
  <c r="AM33" i="9"/>
  <c r="AN33" i="9" s="1"/>
  <c r="AM29" i="9"/>
  <c r="AN29" i="9" s="1"/>
  <c r="AM25" i="9"/>
  <c r="AN25" i="9" s="1"/>
  <c r="W72" i="9"/>
  <c r="X72" i="9" s="1"/>
  <c r="W48" i="9"/>
  <c r="X48" i="9" s="1"/>
  <c r="W40" i="9"/>
  <c r="X40" i="9" s="1"/>
  <c r="W32" i="9"/>
  <c r="X32" i="9" s="1"/>
  <c r="W24" i="9"/>
  <c r="X24" i="9" s="1"/>
  <c r="W16" i="9"/>
  <c r="X16" i="9" s="1"/>
  <c r="W8" i="9"/>
  <c r="X8" i="9" s="1"/>
  <c r="AM86" i="9"/>
  <c r="AN86" i="9" s="1"/>
  <c r="AM78" i="9"/>
  <c r="AN78" i="9" s="1"/>
  <c r="AM21" i="9"/>
  <c r="AN21" i="9" s="1"/>
  <c r="AM19" i="9"/>
  <c r="AN19" i="9" s="1"/>
  <c r="AM17" i="9"/>
  <c r="AN17" i="9" s="1"/>
  <c r="AM15" i="9"/>
  <c r="AN15" i="9" s="1"/>
  <c r="AM13" i="9"/>
  <c r="AN13" i="9" s="1"/>
  <c r="AM7" i="9"/>
  <c r="AN7" i="9" s="1"/>
  <c r="AM31" i="9" l="1"/>
  <c r="AN31" i="9" s="1"/>
  <c r="AM36" i="9"/>
  <c r="AN36" i="9" s="1"/>
  <c r="AM65" i="9"/>
  <c r="AN65" i="9" s="1"/>
  <c r="AM64" i="9"/>
  <c r="AN64" i="9" s="1"/>
  <c r="AM9" i="9"/>
  <c r="AN9" i="9" s="1"/>
  <c r="AM67" i="9"/>
  <c r="AN67" i="9" s="1"/>
  <c r="AM63" i="9"/>
  <c r="AN63" i="9" s="1"/>
  <c r="AM88" i="9"/>
  <c r="AN88" i="9" s="1"/>
  <c r="AM87" i="9"/>
  <c r="AN87" i="9" s="1"/>
  <c r="AM79" i="9"/>
  <c r="AN79" i="9" s="1"/>
  <c r="AM76" i="9"/>
  <c r="AN76" i="9" s="1"/>
  <c r="AM18" i="9"/>
  <c r="AN18" i="9" s="1"/>
  <c r="AM27" i="9"/>
  <c r="AN27" i="9" s="1"/>
  <c r="AM66" i="9"/>
  <c r="AN66" i="9" s="1"/>
  <c r="AM84" i="9"/>
  <c r="AN84" i="9" s="1"/>
  <c r="AM51" i="9"/>
  <c r="AN51" i="9" s="1"/>
  <c r="AM10" i="9"/>
  <c r="AN10" i="9" s="1"/>
  <c r="AM43" i="9"/>
  <c r="AN43" i="9" s="1"/>
  <c r="AM50" i="9"/>
  <c r="AN50" i="9" s="1"/>
  <c r="AM57" i="9"/>
  <c r="AN57" i="9" s="1"/>
  <c r="AM11" i="9"/>
  <c r="AN11" i="9" s="1"/>
  <c r="AM80" i="9"/>
  <c r="AN80" i="9" s="1"/>
  <c r="AM82" i="9"/>
  <c r="AN82" i="9" s="1"/>
  <c r="AM90" i="9"/>
  <c r="AN90" i="9" s="1"/>
  <c r="AM23" i="9"/>
  <c r="AN23" i="9" s="1"/>
  <c r="AM47" i="9"/>
  <c r="AN47" i="9" s="1"/>
  <c r="AM55" i="9"/>
  <c r="AN55" i="9" s="1"/>
  <c r="AM6" i="9"/>
  <c r="AN6" i="9" s="1"/>
  <c r="AM89" i="9"/>
  <c r="AN89" i="9" s="1"/>
  <c r="AM20" i="9"/>
  <c r="AN20" i="9" s="1"/>
  <c r="AM26" i="9"/>
  <c r="AN26" i="9" s="1"/>
  <c r="AM12" i="9"/>
  <c r="AN12" i="9" s="1"/>
  <c r="AM42" i="9"/>
  <c r="AN42" i="9" s="1"/>
  <c r="AM58" i="9"/>
  <c r="AN58" i="9" s="1"/>
  <c r="AM34" i="9"/>
  <c r="AN34" i="9" s="1"/>
  <c r="AM46" i="9"/>
  <c r="AN46" i="9" s="1"/>
  <c r="AM8" i="9"/>
  <c r="AN8" i="9" s="1"/>
  <c r="AM16" i="9"/>
  <c r="AN16" i="9" s="1"/>
  <c r="AM74" i="9"/>
  <c r="AN74" i="9" s="1"/>
  <c r="AM77" i="9"/>
  <c r="AN77" i="9" s="1"/>
  <c r="AM28" i="9"/>
  <c r="AN28" i="9" s="1"/>
  <c r="AM44" i="9"/>
  <c r="AN44" i="9" s="1"/>
  <c r="AM52" i="9"/>
  <c r="AN52" i="9" s="1"/>
  <c r="AM60" i="9"/>
  <c r="AN60" i="9" s="1"/>
  <c r="AM68" i="9"/>
  <c r="AN68" i="9" s="1"/>
  <c r="AM24" i="9"/>
  <c r="AN24" i="9" s="1"/>
  <c r="AM32" i="9"/>
  <c r="AN32" i="9" s="1"/>
  <c r="AM40" i="9"/>
  <c r="AN40" i="9" s="1"/>
  <c r="AM48" i="9"/>
  <c r="AN48" i="9" s="1"/>
  <c r="AM56" i="9"/>
  <c r="AN56" i="9" s="1"/>
  <c r="AM72" i="9"/>
  <c r="AN7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Eyron</author>
  </authors>
  <commentList>
    <comment ref="AI4" authorId="0" shapeId="0" xr:uid="{00000000-0006-0000-0600-000001000000}">
      <text>
        <r>
          <rPr>
            <b/>
            <sz val="9"/>
            <color indexed="81"/>
            <rFont val="Tahoma"/>
            <family val="2"/>
          </rPr>
          <t>Eyron:</t>
        </r>
        <r>
          <rPr>
            <sz val="9"/>
            <color indexed="81"/>
            <rFont val="Tahoma"/>
            <family val="2"/>
          </rPr>
          <t xml:space="preserve">
</t>
        </r>
      </text>
    </comment>
    <comment ref="AP5" authorId="0" shapeId="0" xr:uid="{00000000-0006-0000-0600-000002000000}">
      <text>
        <r>
          <rPr>
            <b/>
            <sz val="9"/>
            <color indexed="81"/>
            <rFont val="Tahoma"/>
            <family val="2"/>
          </rPr>
          <t>Eyron:</t>
        </r>
        <r>
          <rPr>
            <sz val="9"/>
            <color indexed="81"/>
            <rFont val="Tahoma"/>
            <family val="2"/>
          </rPr>
          <t xml:space="preserve">
= (Severity Score) x (Likelihood of Occurrence)</t>
        </r>
      </text>
    </comment>
    <comment ref="AQ5" authorId="0" shapeId="0" xr:uid="{00000000-0006-0000-0600-000003000000}">
      <text>
        <r>
          <rPr>
            <b/>
            <sz val="9"/>
            <color indexed="81"/>
            <rFont val="Tahoma"/>
            <family val="2"/>
          </rPr>
          <t>Eyron:</t>
        </r>
        <r>
          <rPr>
            <sz val="9"/>
            <color indexed="81"/>
            <rFont val="Tahoma"/>
            <family val="2"/>
          </rPr>
          <t xml:space="preserve">
</t>
        </r>
      </text>
    </comment>
  </commentList>
</comments>
</file>

<file path=xl/sharedStrings.xml><?xml version="1.0" encoding="utf-8"?>
<sst xmlns="http://schemas.openxmlformats.org/spreadsheetml/2006/main" count="1515" uniqueCount="339">
  <si>
    <t>Geographical Area or Ecosystem</t>
  </si>
  <si>
    <t>Barangay</t>
  </si>
  <si>
    <t>EXPOSURE</t>
  </si>
  <si>
    <t>SENSITIVITY</t>
  </si>
  <si>
    <t>ADAPTIVE CAPACITY</t>
  </si>
  <si>
    <t>Vulnerability Score</t>
  </si>
  <si>
    <t>Severity of Consequence Score</t>
  </si>
  <si>
    <t>Risk Score</t>
  </si>
  <si>
    <t>Risk Category</t>
  </si>
  <si>
    <t>Likelihood of Occurrence</t>
  </si>
  <si>
    <t>Exposure Score</t>
  </si>
  <si>
    <t>Wealth</t>
  </si>
  <si>
    <t>Technology</t>
  </si>
  <si>
    <t>Information</t>
  </si>
  <si>
    <t>Score (1-6)</t>
  </si>
  <si>
    <t>Sensitivity Score</t>
  </si>
  <si>
    <t>(Be consistent with the city-wide hazards)</t>
  </si>
  <si>
    <t>Climate Variable</t>
  </si>
  <si>
    <t>Hazard</t>
  </si>
  <si>
    <t>HAZARD</t>
  </si>
  <si>
    <t>Vulnerabilty Category</t>
  </si>
  <si>
    <t>Degree of Impact</t>
  </si>
  <si>
    <t>Description</t>
  </si>
  <si>
    <t>Ave. Adaptive Capacity</t>
  </si>
  <si>
    <t>Summary of Findings (Exposure)</t>
  </si>
  <si>
    <t>Summary of Findings (Sensitivity)</t>
  </si>
  <si>
    <t>Summary of Findings (Adaptive Capacity)</t>
  </si>
  <si>
    <t>Magnitude or Depth</t>
  </si>
  <si>
    <t>Average Sensitivity Score</t>
  </si>
  <si>
    <t>INFRASTRUCTURE: ROADS AND BRIDGES</t>
  </si>
  <si>
    <t>Road classification</t>
  </si>
  <si>
    <t>Replacement cost</t>
  </si>
  <si>
    <t>Percentage of cemented / asphalt road</t>
  </si>
  <si>
    <t>% of rough roads</t>
  </si>
  <si>
    <t>AMBAGO</t>
  </si>
  <si>
    <t>BABAG</t>
  </si>
  <si>
    <t>BADING</t>
  </si>
  <si>
    <t>BANCASI</t>
  </si>
  <si>
    <t>BANZA</t>
  </si>
  <si>
    <t>BAOBAOAN</t>
  </si>
  <si>
    <t>BOBON</t>
  </si>
  <si>
    <t>DOONGAN</t>
  </si>
  <si>
    <t>DUMALAGAN</t>
  </si>
  <si>
    <t>LIBERTAD</t>
  </si>
  <si>
    <t>LUMBOCAN</t>
  </si>
  <si>
    <t>MASAO</t>
  </si>
  <si>
    <t>MAUG</t>
  </si>
  <si>
    <t>PAGATPATAN</t>
  </si>
  <si>
    <t>PINAMANCULAN</t>
  </si>
  <si>
    <t>AGUSAN PEQUEÑO</t>
  </si>
  <si>
    <t>Exposed Length (Linear Kilometer)</t>
  </si>
  <si>
    <t>Value of Exposed Lifeline</t>
  </si>
  <si>
    <t>Road Length
(Linear Kilometer)</t>
  </si>
  <si>
    <t>% Exposed
Length</t>
  </si>
  <si>
    <t>Social</t>
  </si>
  <si>
    <t>Infrastructure</t>
  </si>
  <si>
    <t>Institutions/Government</t>
  </si>
  <si>
    <t>Road Length</t>
  </si>
  <si>
    <t>% Percentage of cemented/asphalt road</t>
  </si>
  <si>
    <t>W_Adaptive Capacity Score</t>
  </si>
  <si>
    <t>T_Adaptive Capacity Score</t>
  </si>
  <si>
    <t>S_Adaptive Capavity Score</t>
  </si>
  <si>
    <t>I_Adaptive Capacity Score</t>
  </si>
  <si>
    <t>I/G_Adaptive capacity score</t>
  </si>
  <si>
    <t>Inf_Adaptive capacity score</t>
  </si>
  <si>
    <t>Degree of Impact/Threat Level</t>
  </si>
  <si>
    <t>DOI_Category</t>
  </si>
  <si>
    <t>Exposed Cemented/Asphalt Road</t>
  </si>
  <si>
    <t>Exposed Rough Roads</t>
  </si>
  <si>
    <t>Sector</t>
  </si>
  <si>
    <t>SUMMARY</t>
  </si>
  <si>
    <t>Degree of Impact/Threat level</t>
  </si>
  <si>
    <t>AC Level</t>
  </si>
  <si>
    <t>Summary and Findings</t>
  </si>
  <si>
    <t>Risk Level</t>
  </si>
  <si>
    <t>Impact</t>
  </si>
  <si>
    <t>Exposure</t>
  </si>
  <si>
    <t>Sensitivity</t>
  </si>
  <si>
    <t>Score (1-5)</t>
  </si>
  <si>
    <t>(Score 1-5)</t>
  </si>
  <si>
    <t>TL/AC</t>
  </si>
  <si>
    <t>Coastal</t>
  </si>
  <si>
    <t>Roads Affected</t>
  </si>
  <si>
    <t>Majority of the roads affected are rough roads.</t>
  </si>
  <si>
    <t>Lowland</t>
  </si>
  <si>
    <t>Majority of the roads affected are cemented/asphalt roads.</t>
  </si>
  <si>
    <t>Upland</t>
  </si>
  <si>
    <t>Urban</t>
  </si>
  <si>
    <t>-Seawalls
-Floodwalls
-Dikes/Levees
-Coastal Roads</t>
  </si>
  <si>
    <t>-BDRRM Rescue team available 
-Disaster Plan</t>
  </si>
  <si>
    <t xml:space="preserve">-5% Calamity fund
-Brgy. IRA
</t>
  </si>
  <si>
    <t>-Equipment and supplies for emergency are available</t>
  </si>
  <si>
    <t>-There is political willingness to allocate resources to build adaptive capacity of LGU</t>
  </si>
  <si>
    <t>-Information Education Campaign
-Alert Level</t>
  </si>
  <si>
    <t>Coastal Barangays</t>
  </si>
  <si>
    <t>Decision Area
(Barangay)
Col (1)</t>
  </si>
  <si>
    <t>Exposure
Col (2)</t>
  </si>
  <si>
    <t>Summary of Findings
Col (3)</t>
  </si>
  <si>
    <t>Risk Score and Category
Col (4)</t>
  </si>
  <si>
    <t>Implications
(If no action is taken)
Col (5)</t>
  </si>
  <si>
    <t>Key Challenges and Issues, and Opportunities
Col (6)</t>
  </si>
  <si>
    <t>3 Barangays</t>
  </si>
  <si>
    <t>Urban Barangays</t>
  </si>
  <si>
    <t>Lowland Barangays</t>
  </si>
  <si>
    <t>Upland Barangays</t>
  </si>
  <si>
    <t>- 29.23 km of roads are exposed to flooding caused by storm surges (47.40% are cemented/asphalt roads
- 52.60% are rough roads)</t>
  </si>
  <si>
    <t>- loss of life, cause property damage, extreme flooding, coastal erosion
- Storm surges can cause damage to building foundation collapsing the entire stability to a structure, which then would affect the usability of buildings and facilities (i.e Ports)
-transportation facilities such as roads and bridges get damaged delaying the response and recovery</t>
  </si>
  <si>
    <t>- loss of life, cause property damage, extreme flooding
- transportation facilities such as roads and bridges get damaged delaying the response and recovery</t>
  </si>
  <si>
    <t>- cause property damage, moderate flooding
- transportation facilities such as roads and bridges get damaged delaying the response and recovery</t>
  </si>
  <si>
    <t>- transportation facilities such as roads and bridges get damaged delaying the response and recovery</t>
  </si>
  <si>
    <t>Low lying structures and facilities</t>
  </si>
  <si>
    <t>Low lying structures and facilities adjacent to a bay</t>
  </si>
  <si>
    <t>- 0.303 km of roads are exposed (0.7% are cemented/asphalt roads
- 99.30% are rough roads)</t>
  </si>
  <si>
    <t>- 57.37 km of roads are exposed (77.92% are cemented/asphalt roads
- 22.08% are rough roads)</t>
  </si>
  <si>
    <t>- 0.182 km of roads are exposed (49.70% are cemented/asphalt roads
- 50.30% are rough roads)</t>
  </si>
  <si>
    <t>11 Barangays</t>
  </si>
  <si>
    <t>1 Barangay</t>
  </si>
  <si>
    <t>Table XX. Reviewing Current Development Goals and Objectives</t>
  </si>
  <si>
    <t>VISION:</t>
  </si>
  <si>
    <t xml:space="preserve">The government makes it their vision to promote Butuan City as “a great hub city of opportunities for all that spurs and supports Caraga’s sustainable growth and development”. </t>
  </si>
  <si>
    <t>MISSION:</t>
  </si>
  <si>
    <t xml:space="preserve">Butuan City will strive to achieve a vibrant, smart eco-city that is sustainable, livable, resilient and competitive. </t>
  </si>
  <si>
    <t>OVERALL GOAL:</t>
  </si>
  <si>
    <t>Sustainable Growth and Development and Resilient City</t>
  </si>
  <si>
    <t>OBJECTIVES:</t>
  </si>
  <si>
    <t>A peaceful, safe, resilient and socially inclusive Mindanao of diverse cultures harmoniously enjoying a sustainable and competitive agro-industrial and resource-based economy</t>
  </si>
  <si>
    <t xml:space="preserve">1. Sustainability - to secure its agricultural land and green spaces for economic growth 
and food security 
</t>
  </si>
  <si>
    <t xml:space="preserve">2. Socio-Economic Development - poverty reduction through addressing gaps on the provision of basic social services: water, health and education. Strategies on economic development should focus on job generation through ecotourism, value adding of agricultural products and facilitate the delivery of mass transportation for its people </t>
  </si>
  <si>
    <t>3. Resiliency - strengthen its adaptation and resilient capacity, being highly vulnerable to sea level rise, flooding, storm surge/tsunami and other extreme weather conditions.</t>
  </si>
  <si>
    <t>Sectoral Goal</t>
  </si>
  <si>
    <t>Objectives</t>
  </si>
  <si>
    <t>Link to Climate Change (Refer to relevant technical findings of the sector)</t>
  </si>
  <si>
    <t>Is there A Need to Enhance or Formulate New Objectives?</t>
  </si>
  <si>
    <t>Development Objectives Enhanced or Reformulated to Climate Objectives</t>
  </si>
  <si>
    <t xml:space="preserve">NCCAP Goals </t>
  </si>
  <si>
    <t xml:space="preserve">Climate Change Objectives </t>
  </si>
  <si>
    <t>Objective Indicators</t>
  </si>
  <si>
    <t>Yes</t>
  </si>
  <si>
    <t>No</t>
  </si>
  <si>
    <t xml:space="preserve">Food Security </t>
  </si>
  <si>
    <t xml:space="preserve">Water Sufficiency </t>
  </si>
  <si>
    <t xml:space="preserve">Ecological and Environmental Stability </t>
  </si>
  <si>
    <t xml:space="preserve">Human Security </t>
  </si>
  <si>
    <t xml:space="preserve">Climate-Smart Industries and Services </t>
  </si>
  <si>
    <t xml:space="preserve">Sustainable Energy </t>
  </si>
  <si>
    <t xml:space="preserve">Knowledge and Capacity Development </t>
  </si>
  <si>
    <t>Secure, Empowered and Culture-oriented Citizenry</t>
  </si>
  <si>
    <t>Ascending, Competitive and Inclusive Economy</t>
  </si>
  <si>
    <t xml:space="preserve">Climate-adaptive, Innovative and Safe Infrastructure </t>
  </si>
  <si>
    <t>- Improve and upgrade existing road networks</t>
  </si>
  <si>
    <t>●</t>
  </si>
  <si>
    <t>Green, Smart and Resilient Environment</t>
  </si>
  <si>
    <t xml:space="preserve">Transparent, Efficient and Proactive Governance </t>
  </si>
  <si>
    <t>Low</t>
  </si>
  <si>
    <t>Medium</t>
  </si>
  <si>
    <t>High</t>
  </si>
  <si>
    <t>Remarks</t>
  </si>
  <si>
    <t>ü</t>
  </si>
  <si>
    <t>û</t>
  </si>
  <si>
    <t>No changes</t>
  </si>
  <si>
    <t>50% of the City's road systems are resilient to CC impacts and promote sustainable construction practices</t>
  </si>
  <si>
    <t>100% of the City's road systems are resilient to CC impacts and promote sustainable construction practices</t>
  </si>
  <si>
    <t>Increase climate resilient and sustainable road systems</t>
  </si>
  <si>
    <t>Road systems are built with engineering and structural measures or bio-engineering measures
-Eng'g &amp; Structural measures include slope stabilization, raised road level, improved drainage system
-Bio-engineering measures (use of vegetation)</t>
  </si>
  <si>
    <t>Climate-adaptive, Innovative and Safe Infrastructure</t>
  </si>
  <si>
    <t>CC Objectives</t>
  </si>
  <si>
    <t>Sector/
Sub-sector</t>
  </si>
  <si>
    <t>Decision Area</t>
  </si>
  <si>
    <t>Technical Finding</t>
  </si>
  <si>
    <t>Summary of Findings</t>
  </si>
  <si>
    <t>Implications</t>
  </si>
  <si>
    <t>Potential Options</t>
  </si>
  <si>
    <t>List of Programs/Activities/Projects (PAPs)</t>
  </si>
  <si>
    <t>Project Cost</t>
  </si>
  <si>
    <t>Schedule of Implementation</t>
  </si>
  <si>
    <t>Ecosystem</t>
  </si>
  <si>
    <t>Barangays</t>
  </si>
  <si>
    <t>Short-term (1 to 3 years)</t>
  </si>
  <si>
    <t>Medium-term (3 to 5 years)</t>
  </si>
  <si>
    <t>Long-term (6+ years)</t>
  </si>
  <si>
    <t>Infrastructure: 
Roads and Bridges</t>
  </si>
  <si>
    <t>Storm-surge</t>
  </si>
  <si>
    <t>Infrastructure: 
Social Support Facilities (Daycare)</t>
  </si>
  <si>
    <t>Flooding</t>
  </si>
  <si>
    <t>Lumbocan
Masao
Pagatpatan</t>
  </si>
  <si>
    <t xml:space="preserve">Partially damaged School buildings </t>
  </si>
  <si>
    <t>33% or 1 out of the 4 Day Care Centers</t>
  </si>
  <si>
    <t>Day Care center are one-storey building made of wood materials</t>
  </si>
  <si>
    <t>30 Barangays</t>
  </si>
  <si>
    <t>47% or 23 out of 55 Day Care Centers</t>
  </si>
  <si>
    <t>26 Barangays</t>
  </si>
  <si>
    <t>1 out of 40 Day Care centers</t>
  </si>
  <si>
    <t>Day care center is made of wood materials</t>
  </si>
  <si>
    <t>27 Barangays</t>
  </si>
  <si>
    <t>37 % or 11 out of 31 Day Care centers</t>
  </si>
  <si>
    <t>Infrastructure: 
Social Support Facilities (Schools)</t>
  </si>
  <si>
    <t>School infrastructures affected
Possible harm to students
Possible harm to teachers and employees</t>
  </si>
  <si>
    <t>6.41% of school buildings
25,080 students
93  teachers and personnel</t>
  </si>
  <si>
    <t>3.52% of the buildings that are delapidated and need renovation 
5.33% of the one-story school building
almost all roofings of the school has the same type</t>
  </si>
  <si>
    <t>25 Barangays</t>
  </si>
  <si>
    <t>46.34% of school buildings
25058 students
969 teachers and personnel</t>
  </si>
  <si>
    <t>42.95% of the buildings that are delapidated and need renovation 
5.33% of the one-story school building
almost all roofings of the school has the same type</t>
  </si>
  <si>
    <t>16 Barangays</t>
  </si>
  <si>
    <t>21.95% of school buildings
10536 students
410 teachers and personnel</t>
  </si>
  <si>
    <t>34.5% of the buildings that are delapidated and need renovation 
30.85% of the one-story school building
almost all roofings of the school has the same type</t>
  </si>
  <si>
    <t>25.28% of school buildings
32517 students
1120 teachers and personnel</t>
  </si>
  <si>
    <t>Drought</t>
  </si>
  <si>
    <t>Sector/ 
Sub-sector</t>
  </si>
  <si>
    <t>Actions/Interventions</t>
  </si>
  <si>
    <t>Level of Urgency</t>
  </si>
  <si>
    <t xml:space="preserve">Implementing Office
</t>
  </si>
  <si>
    <t>Location</t>
  </si>
  <si>
    <t>Cost Estimate
(in actual amount)</t>
  </si>
  <si>
    <t>Period of Implementation (From-To)</t>
  </si>
  <si>
    <t>(1)Urgent
(2)Essential
(3)Necessary
(4)Desirable
(5)Acceptable
(6)Deferrable</t>
  </si>
  <si>
    <t>Sector: Infrastructure</t>
  </si>
  <si>
    <t>Sector Assigned Weight</t>
  </si>
  <si>
    <t>PROJECT</t>
  </si>
  <si>
    <r>
      <t xml:space="preserve">Ascending, Competitive, and Inclusive Economy </t>
    </r>
    <r>
      <rPr>
        <sz val="12"/>
        <color rgb="FFFF0000"/>
        <rFont val="Calibri (Body)"/>
      </rPr>
      <t>(Economic)</t>
    </r>
  </si>
  <si>
    <r>
      <t xml:space="preserve">Green, Smart, and Resilient Environment </t>
    </r>
    <r>
      <rPr>
        <sz val="12"/>
        <color rgb="FFFF0000"/>
        <rFont val="Calibri (Body)"/>
      </rPr>
      <t>(Environment)</t>
    </r>
  </si>
  <si>
    <r>
      <t xml:space="preserve">Climate-adaptive, Innovative and Safe Infrastructure </t>
    </r>
    <r>
      <rPr>
        <sz val="12"/>
        <color rgb="FFFF0000"/>
        <rFont val="Calibri (Body)"/>
      </rPr>
      <t>(Infrastructure)</t>
    </r>
  </si>
  <si>
    <r>
      <t>Transparent, Efficient and Proactive Governance.</t>
    </r>
    <r>
      <rPr>
        <sz val="12"/>
        <color rgb="FFFF0000"/>
        <rFont val="Calibri (Body)"/>
      </rPr>
      <t xml:space="preserve"> (Institutional)</t>
    </r>
  </si>
  <si>
    <r>
      <t xml:space="preserve">Secure, Empowered, and Culture-oriented Citizenry </t>
    </r>
    <r>
      <rPr>
        <sz val="12"/>
        <color rgb="FFFF0000"/>
        <rFont val="Calibri (Body)"/>
      </rPr>
      <t>(Social)</t>
    </r>
    <r>
      <rPr>
        <sz val="11"/>
        <color theme="1"/>
        <rFont val="Calibri"/>
        <family val="2"/>
        <scheme val="minor"/>
      </rPr>
      <t xml:space="preserve">
</t>
    </r>
  </si>
  <si>
    <t>1  Barangay</t>
  </si>
  <si>
    <r>
      <rPr>
        <b/>
        <sz val="11"/>
        <color theme="1"/>
        <rFont val="Calibri"/>
        <family val="2"/>
        <scheme val="minor"/>
      </rPr>
      <t xml:space="preserve">- Road Concreting:
        Asphalt Overlay
              </t>
    </r>
    <r>
      <rPr>
        <sz val="11"/>
        <color theme="1"/>
        <rFont val="Calibri"/>
        <family val="2"/>
        <scheme val="minor"/>
      </rPr>
      <t xml:space="preserve">Imadejas Street, Brgy. Imadejas
            </t>
    </r>
    <r>
      <rPr>
        <b/>
        <sz val="11"/>
        <color theme="1"/>
        <rFont val="Calibri"/>
        <family val="2"/>
        <scheme val="minor"/>
      </rPr>
      <t xml:space="preserve">Concreting of Road Gaps (Phase III)
              </t>
    </r>
    <r>
      <rPr>
        <sz val="11"/>
        <color theme="1"/>
        <rFont val="Calibri"/>
        <family val="2"/>
        <scheme val="minor"/>
      </rPr>
      <t xml:space="preserve">Butuan City Urban Barangays
            </t>
    </r>
    <r>
      <rPr>
        <b/>
        <sz val="11"/>
        <color theme="1"/>
        <rFont val="Calibri"/>
        <family val="2"/>
        <scheme val="minor"/>
      </rPr>
      <t xml:space="preserve">Base Preparation for Concreting of Road Gaps
              </t>
    </r>
    <r>
      <rPr>
        <sz val="11"/>
        <color theme="1"/>
        <rFont val="Calibri"/>
        <family val="2"/>
        <scheme val="minor"/>
      </rPr>
      <t xml:space="preserve">Butuan City Urban Barangays (Phase III)
- </t>
    </r>
    <r>
      <rPr>
        <b/>
        <sz val="11"/>
        <color theme="1"/>
        <rFont val="Calibri"/>
        <family val="2"/>
        <scheme val="minor"/>
      </rPr>
      <t>Drainage System</t>
    </r>
    <r>
      <rPr>
        <sz val="11"/>
        <color theme="1"/>
        <rFont val="Calibri"/>
        <family val="2"/>
        <scheme val="minor"/>
      </rPr>
      <t xml:space="preserve">
             </t>
    </r>
    <r>
      <rPr>
        <b/>
        <sz val="11"/>
        <color theme="1"/>
        <rFont val="Calibri"/>
        <family val="2"/>
        <scheme val="minor"/>
      </rPr>
      <t>Construction of Drainage System</t>
    </r>
    <r>
      <rPr>
        <sz val="11"/>
        <color theme="1"/>
        <rFont val="Calibri"/>
        <family val="2"/>
        <scheme val="minor"/>
      </rPr>
      <t xml:space="preserve">
                     Butuan City Urban Barangays (Phase II)</t>
    </r>
  </si>
  <si>
    <t>- Improve transport infrastructure design such as higher road embankment elevations
- Use of elevated roads, walkways, pathways, and thicker pavement
- Install better drainage culverts</t>
  </si>
  <si>
    <t>- Install better drainage culverts</t>
  </si>
  <si>
    <t>- Improve transport infrastructure design such as higher road embankment elevations, use of elevated roads, walkways, pathways, and thicker pavement
- Install better drainage culverts</t>
  </si>
  <si>
    <t xml:space="preserve">- Build dikes along the river
- Install better drainage culverts
- "Low regrets" infrastructure upgrades (e.g. dikes, diversion channels)
- Bio-engineering
</t>
  </si>
  <si>
    <t>OBRERO</t>
  </si>
  <si>
    <t>FLOODING</t>
  </si>
  <si>
    <t>AGAO</t>
  </si>
  <si>
    <t>AMPARO</t>
  </si>
  <si>
    <t>AMPAYON</t>
  </si>
  <si>
    <t>ANTICALA</t>
  </si>
  <si>
    <t>ANTONGALON</t>
  </si>
  <si>
    <t>AUPAGAN</t>
  </si>
  <si>
    <t>BAAN KM 3</t>
  </si>
  <si>
    <t>BAAN RIVERSIDE</t>
  </si>
  <si>
    <t>BASAG</t>
  </si>
  <si>
    <t>BAYANIHAN</t>
  </si>
  <si>
    <t>BILAY</t>
  </si>
  <si>
    <t>BITAN-AGAN</t>
  </si>
  <si>
    <t>BIT-OS</t>
  </si>
  <si>
    <t>BONBON</t>
  </si>
  <si>
    <t>BUGSUKAN</t>
  </si>
  <si>
    <t>BUHANGIN</t>
  </si>
  <si>
    <t>CABCABON</t>
  </si>
  <si>
    <t>CAMAYAHAN</t>
  </si>
  <si>
    <t>DAGOHOY</t>
  </si>
  <si>
    <t>DANKIAS</t>
  </si>
  <si>
    <t>DE ORO</t>
  </si>
  <si>
    <t>DIEGO SILANG</t>
  </si>
  <si>
    <t>DON FRANCISCO</t>
  </si>
  <si>
    <t>FLORIDA</t>
  </si>
  <si>
    <t>FORT POYOHON</t>
  </si>
  <si>
    <t>GOLDEN RIBBON</t>
  </si>
  <si>
    <t>HOLY REDEEMER</t>
  </si>
  <si>
    <t>HUMABON</t>
  </si>
  <si>
    <t>IMADEJAS</t>
  </si>
  <si>
    <t>J.P. RIZAL</t>
  </si>
  <si>
    <t>KINAMLUTAN</t>
  </si>
  <si>
    <t>LAPU-LAPU</t>
  </si>
  <si>
    <t>LEMON</t>
  </si>
  <si>
    <t>LEON KILAT</t>
  </si>
  <si>
    <t>LIMAHA</t>
  </si>
  <si>
    <t>LOS ANGELES</t>
  </si>
  <si>
    <t>M.J. SANTOS</t>
  </si>
  <si>
    <t>MAGUINDA</t>
  </si>
  <si>
    <t>MAHAY</t>
  </si>
  <si>
    <t>MAHOGANY</t>
  </si>
  <si>
    <t>MAIBU</t>
  </si>
  <si>
    <t>MANDAMO</t>
  </si>
  <si>
    <t>MANILA DE BUGABUS</t>
  </si>
  <si>
    <t>MAON</t>
  </si>
  <si>
    <t>NEW SOCIETY VILLAGE</t>
  </si>
  <si>
    <t>NONG-NONG</t>
  </si>
  <si>
    <t>ONG YIU</t>
  </si>
  <si>
    <t>PANGABUGAN</t>
  </si>
  <si>
    <t>PIANING</t>
  </si>
  <si>
    <t>PIGDAULAN</t>
  </si>
  <si>
    <t>RAJAH SOLIMAN</t>
  </si>
  <si>
    <t>SALVACION</t>
  </si>
  <si>
    <t>SAN IGNACIO</t>
  </si>
  <si>
    <t>SAN MATEO</t>
  </si>
  <si>
    <t>SAN VICENTE</t>
  </si>
  <si>
    <t>SIKATUNA</t>
  </si>
  <si>
    <t>SILONGAN</t>
  </si>
  <si>
    <t>SUMILE</t>
  </si>
  <si>
    <t>SUMILIHON</t>
  </si>
  <si>
    <t>TAGABACA</t>
  </si>
  <si>
    <t>TAGUIBO</t>
  </si>
  <si>
    <t>TALIGAMAN</t>
  </si>
  <si>
    <t>TANDANG SORA</t>
  </si>
  <si>
    <t>TINIWISAN</t>
  </si>
  <si>
    <t>TUNGAO</t>
  </si>
  <si>
    <t>URDUJA</t>
  </si>
  <si>
    <t>VILLA KANANGA</t>
  </si>
  <si>
    <t>SANTO NIÑO</t>
  </si>
  <si>
    <t>COASTAL</t>
  </si>
  <si>
    <t>Barangay road
City road</t>
  </si>
  <si>
    <t>Barangay road
City road
National road</t>
  </si>
  <si>
    <t>Barangay road
National road</t>
  </si>
  <si>
    <t>Barangay road</t>
  </si>
  <si>
    <t>Barangay road
City road
National road
Provincial road</t>
  </si>
  <si>
    <t>Barangay road
NIA
Provincial road</t>
  </si>
  <si>
    <t>Barangay road
National road
Provincial road</t>
  </si>
  <si>
    <t>National road</t>
  </si>
  <si>
    <t>Barangay road
NIA
National road
Provincial road</t>
  </si>
  <si>
    <t>Barangay road
Provincial road</t>
  </si>
  <si>
    <t>City road</t>
  </si>
  <si>
    <t>Barangay road
Private road
Provincial road
National road</t>
  </si>
  <si>
    <t>Barangay road
Private road
Provincial road</t>
  </si>
  <si>
    <t>Barangay road
NIA
National road</t>
  </si>
  <si>
    <t>AGUSAN PEQUENO</t>
  </si>
  <si>
    <t>LOWLAND</t>
  </si>
  <si>
    <t>UPLAND</t>
  </si>
  <si>
    <t>DULAG</t>
  </si>
  <si>
    <t>URBAN</t>
  </si>
  <si>
    <t>=IFS(AND(E6="COASTAL",OR(H6="NIA",H6="Barangay",H6="Private")),4,AND(E6="COASTAL",OR(H6="Provincial",H6="City")),3,AND(E6="COASTAL",H6="National"),2,AND(E6="LOWLAND",OR(H6="NIA",H6="Barangay",H6="Private")),3,AND(E6="LOWLAND",OR(H6="Provincial",H6="City")),2,AND(E6="LOWLAND",H6="National"),1,AND(E6="UPLAND",OR(H6="NIA",H6="Barangay",H6="Private")),2,AND(E6="UPLAND",OR(H6="Provincial",H6="City")),1,AND(E6="UPLAND",H6="National"),1,AND(E6="URBAN",OR(H6="NIA",H6="Barangay",H6="Private")),1,AND(E6="URBAN",OR(H6="Provincial",H6="City")),1,AND(E6="URBAN",H6="National"),1)</t>
  </si>
  <si>
    <t>Row Labels</t>
  </si>
  <si>
    <t>Grand Total</t>
  </si>
  <si>
    <t>Average of Degree of Impact</t>
  </si>
  <si>
    <t>Average of Ave. Adaptive Capacity</t>
  </si>
  <si>
    <t>Average of Risk Score</t>
  </si>
  <si>
    <t xml:space="preserve">Can cause the increase of sea water level that may risk the human life due to failure of providing adance warning to the resident.
'Rapidly moving waters carries heavy debris that upon impact can cause direct physical damage resulting to expensive renovation and clean up cost.
Coastal habitats such as wetlands and estuaries are destroyed and can erode dune systems. 
</t>
  </si>
  <si>
    <t>Residents in affected barangays should be well-informed in the safety precautions when there is a storm coming. Poorest residents should receive help from the LGU for rescue and evacuation.
'Urbanisation on coastal areas should be regulated that makes the surface impermeable.
'Wetlands serves as sponge or absorbs moisture and wooded areas decelerates the water when the rivers overflow. Ceasing deforestation and wetland drainage, reforesting upstream areas and restoring damaged wetlands could significantly reduce the impact of climate change on flooding in all areas.</t>
  </si>
  <si>
    <t>Human life is at risk if there is no advance warning. 
'Damages properties, infrastractures (power plants, roadways and bridges, sewerage and canals.)
'Disruption of transport that causes traffic.
'Cancellation of work and classes, disruption of businesses and other social affairs which affects the communities economy.
'Drainage canals overflow which can cause pollution and sicknesses such as water-borne diseases, vector-borne diseases and other communicable diseases.</t>
  </si>
  <si>
    <t>Better flood warning systems is recommended and should be established to give people more time to take action and save their lives. 
'Strict inspection for building construction permit. (ex. Construct buildings above flood levels to stand from floods, proper drainage and sewerage system on business establsihments.)
'Constuction of new drainage system projects should conform to the existing drainage system nearby to identify the water outflow.
'Existing drainage system should be monitored and maintained esp. those high risks areas of floods.</t>
  </si>
  <si>
    <t xml:space="preserve">Loss of life,  Loss of land value 
</t>
  </si>
  <si>
    <t>Appropriate soil management should be practiced to improve soil condition. Extensive quantities of rainwater can be absorbed by a well drained soil , preventing it from running into rivers.</t>
  </si>
  <si>
    <t>Changes in soil formation (soil erosion, deposition and degradation)</t>
  </si>
  <si>
    <t>Plant more trees upland to mitigate floods and to  improve soil structure, water inﬁltration into deep soil, and  water storage.</t>
  </si>
  <si>
    <t>Max of Exposed Length (Linear Kilometer)</t>
  </si>
  <si>
    <t>Max of Exposed Cemented/Asphalt Road</t>
  </si>
  <si>
    <t>Max of Road Length</t>
  </si>
  <si>
    <t>Max of Exposed Rough Roads</t>
  </si>
  <si>
    <t>- 814.62 km of roads are exposed to flooding caused by storm surges (27.68% are cemented/asphalt roads 72.32% are rough roads)</t>
  </si>
  <si>
    <t>814 km road length are affected by Flooding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</si>
</sst>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0_-;\-* #,##0.000_-;_-* &quot;-&quot;??_-;_-@_-"/>
  </numFmts>
  <fonts count="33">
    <font>
      <sz val="11"/>
      <color theme="1"/>
      <name val="Calibri"/>
      <family val="2"/>
      <scheme val="minor"/>
    </font>
    <font>
      <b/>
      <sz val="10"/>
      <color theme="1"/>
      <name val="Calibri Light"/>
      <family val="2"/>
      <scheme val="major"/>
    </font>
    <font>
      <b/>
      <sz val="14"/>
      <color theme="1"/>
      <name val="Calibri Light"/>
      <family val="2"/>
      <scheme val="major"/>
    </font>
    <font>
      <sz val="11"/>
      <color theme="1"/>
      <name val="Calibri Light"/>
      <family val="2"/>
      <scheme val="major"/>
    </font>
    <font>
      <b/>
      <sz val="9"/>
      <color theme="1"/>
      <name val="Calibri Light"/>
      <family val="2"/>
      <scheme val="major"/>
    </font>
    <font>
      <i/>
      <sz val="9"/>
      <color theme="1"/>
      <name val="Calibri Light"/>
      <family val="2"/>
      <scheme val="major"/>
    </font>
    <font>
      <b/>
      <sz val="11"/>
      <color theme="1"/>
      <name val="Calibri Light"/>
      <family val="2"/>
      <scheme val="major"/>
    </font>
    <font>
      <sz val="11"/>
      <color theme="1"/>
      <name val="Calibri"/>
      <family val="2"/>
      <scheme val="minor"/>
    </font>
    <font>
      <sz val="8"/>
      <color theme="1"/>
      <name val="Calibri Light"/>
      <family val="2"/>
      <scheme val="major"/>
    </font>
    <font>
      <sz val="9"/>
      <color indexed="81"/>
      <name val="Tahoma"/>
      <family val="2"/>
    </font>
    <font>
      <b/>
      <sz val="9"/>
      <color indexed="81"/>
      <name val="Tahoma"/>
      <family val="2"/>
    </font>
    <font>
      <b/>
      <sz val="10"/>
      <color theme="1"/>
      <name val="Montserrat"/>
    </font>
    <font>
      <b/>
      <sz val="14"/>
      <color theme="1"/>
      <name val="Montserrat"/>
    </font>
    <font>
      <i/>
      <sz val="9"/>
      <color theme="1"/>
      <name val="Montserrat"/>
    </font>
    <font>
      <sz val="10"/>
      <color theme="1"/>
      <name val="Montserrat"/>
    </font>
    <font>
      <sz val="12"/>
      <color theme="1"/>
      <name val="Calibri"/>
      <family val="2"/>
      <scheme val="minor"/>
    </font>
    <font>
      <b/>
      <sz val="12"/>
      <color theme="1"/>
      <name val="Calibri"/>
      <family val="2"/>
      <scheme val="minor"/>
    </font>
    <font>
      <sz val="12"/>
      <color rgb="FF262626"/>
      <name val="Calibri"/>
      <family val="2"/>
      <scheme val="minor"/>
    </font>
    <font>
      <sz val="12"/>
      <color theme="1"/>
      <name val="Calibri"/>
      <family val="2"/>
      <charset val="2"/>
      <scheme val="minor"/>
    </font>
    <font>
      <sz val="12"/>
      <color theme="1"/>
      <name val="Calibri"/>
      <family val="2"/>
    </font>
    <font>
      <sz val="16"/>
      <color theme="1"/>
      <name val="Calibri"/>
      <family val="2"/>
      <scheme val="minor"/>
    </font>
    <font>
      <sz val="16"/>
      <color rgb="FF000000"/>
      <name val="Calibri"/>
      <family val="2"/>
      <scheme val="minor"/>
    </font>
    <font>
      <sz val="16"/>
      <color rgb="FF262626"/>
      <name val="Calibri"/>
      <family val="2"/>
      <scheme val="minor"/>
    </font>
    <font>
      <sz val="36"/>
      <color theme="1"/>
      <name val="Wingdings"/>
      <charset val="2"/>
    </font>
    <font>
      <b/>
      <sz val="11"/>
      <color theme="1"/>
      <name val="Calibri"/>
      <family val="2"/>
      <scheme val="minor"/>
    </font>
    <font>
      <b/>
      <sz val="12"/>
      <color rgb="FF000000"/>
      <name val="Calibri"/>
      <family val="2"/>
      <scheme val="minor"/>
    </font>
    <font>
      <sz val="12"/>
      <color rgb="FFFF0000"/>
      <name val="Calibri"/>
      <family val="2"/>
      <scheme val="minor"/>
    </font>
    <font>
      <b/>
      <sz val="12"/>
      <color rgb="FF000000"/>
      <name val="Calibri"/>
      <family val="2"/>
    </font>
    <font>
      <sz val="12"/>
      <color rgb="FFFF0000"/>
      <name val="Calibri (Body)"/>
    </font>
    <font>
      <sz val="12"/>
      <name val="Calibri (Body)"/>
    </font>
    <font>
      <sz val="8"/>
      <name val="Calibri Light"/>
      <family val="2"/>
      <scheme val="major"/>
    </font>
    <font>
      <sz val="11"/>
      <name val="Calibri Light"/>
      <family val="2"/>
      <scheme val="major"/>
    </font>
    <font>
      <sz val="12"/>
      <color rgb="FF000000"/>
      <name val="Montserrat-Regular"/>
    </font>
  </fonts>
  <fills count="16">
    <fill>
      <patternFill patternType="none"/>
    </fill>
    <fill>
      <patternFill patternType="gray125"/>
    </fill>
    <fill>
      <patternFill patternType="solid">
        <fgColor theme="0" tint="-0.34998626667073579"/>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7BC4B7"/>
        <bgColor indexed="64"/>
      </patternFill>
    </fill>
    <fill>
      <patternFill patternType="solid">
        <fgColor rgb="FFD3EBE7"/>
        <bgColor indexed="64"/>
      </patternFill>
    </fill>
    <fill>
      <patternFill patternType="solid">
        <fgColor rgb="FFA7D8CF"/>
        <bgColor indexed="64"/>
      </patternFill>
    </fill>
    <fill>
      <patternFill patternType="solid">
        <fgColor theme="9"/>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C00000"/>
        <bgColor indexed="64"/>
      </patternFill>
    </fill>
    <fill>
      <patternFill patternType="solid">
        <fgColor rgb="FFFFFF00"/>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43" fontId="7" fillId="0" borderId="0" applyFont="0" applyFill="0" applyBorder="0" applyAlignment="0" applyProtection="0"/>
    <xf numFmtId="9" fontId="7" fillId="0" borderId="0" applyFont="0" applyFill="0" applyBorder="0" applyAlignment="0" applyProtection="0"/>
    <xf numFmtId="0" fontId="15" fillId="0" borderId="0"/>
    <xf numFmtId="0" fontId="7" fillId="0" borderId="0"/>
    <xf numFmtId="9" fontId="15" fillId="0" borderId="0" applyFont="0" applyFill="0" applyBorder="0" applyAlignment="0" applyProtection="0"/>
  </cellStyleXfs>
  <cellXfs count="206">
    <xf numFmtId="0" fontId="0" fillId="0" borderId="0" xfId="0"/>
    <xf numFmtId="0" fontId="3" fillId="0" borderId="0" xfId="0" applyFont="1"/>
    <xf numFmtId="0" fontId="1" fillId="4" borderId="1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10" fontId="5" fillId="2" borderId="6" xfId="0" applyNumberFormat="1" applyFont="1" applyFill="1" applyBorder="1" applyAlignment="1">
      <alignment horizontal="center" vertical="center" wrapText="1"/>
    </xf>
    <xf numFmtId="0" fontId="6" fillId="0" borderId="0" xfId="0" applyFont="1"/>
    <xf numFmtId="43" fontId="3" fillId="0" borderId="0" xfId="1" applyFont="1"/>
    <xf numFmtId="43" fontId="4" fillId="5" borderId="10" xfId="1" applyFont="1" applyFill="1" applyBorder="1" applyAlignment="1">
      <alignment horizontal="center" vertical="center" wrapText="1"/>
    </xf>
    <xf numFmtId="43" fontId="5" fillId="2" borderId="6" xfId="1" applyFont="1" applyFill="1" applyBorder="1" applyAlignment="1">
      <alignment horizontal="center" vertical="center" wrapText="1"/>
    </xf>
    <xf numFmtId="164" fontId="3" fillId="0" borderId="0" xfId="1" applyNumberFormat="1" applyFont="1"/>
    <xf numFmtId="164" fontId="4" fillId="5" borderId="10" xfId="1" applyNumberFormat="1" applyFont="1" applyFill="1" applyBorder="1" applyAlignment="1">
      <alignment horizontal="center" vertical="center" wrapText="1"/>
    </xf>
    <xf numFmtId="164" fontId="5" fillId="2" borderId="6" xfId="1" applyNumberFormat="1" applyFont="1" applyFill="1" applyBorder="1" applyAlignment="1">
      <alignment horizontal="center" vertical="center" wrapText="1"/>
    </xf>
    <xf numFmtId="10" fontId="3" fillId="0" borderId="0" xfId="2" applyNumberFormat="1" applyFont="1"/>
    <xf numFmtId="10" fontId="4" fillId="5" borderId="10" xfId="2" applyNumberFormat="1" applyFont="1" applyFill="1" applyBorder="1" applyAlignment="1">
      <alignment horizontal="center" vertical="center" wrapText="1"/>
    </xf>
    <xf numFmtId="10" fontId="5" fillId="2" borderId="6" xfId="2" applyNumberFormat="1"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10" xfId="0" applyFont="1" applyFill="1" applyBorder="1" applyAlignment="1">
      <alignment horizontal="center" vertical="center" wrapText="1"/>
    </xf>
    <xf numFmtId="9" fontId="3" fillId="0" borderId="0" xfId="2" applyFont="1"/>
    <xf numFmtId="9" fontId="5" fillId="2" borderId="6" xfId="2" applyFont="1" applyFill="1" applyBorder="1" applyAlignment="1">
      <alignment horizontal="center" vertical="center" wrapText="1"/>
    </xf>
    <xf numFmtId="0" fontId="3" fillId="0" borderId="0" xfId="0" applyFont="1" applyAlignment="1">
      <alignment horizontal="center" vertical="center"/>
    </xf>
    <xf numFmtId="2" fontId="3" fillId="0" borderId="0" xfId="0" applyNumberFormat="1" applyFont="1"/>
    <xf numFmtId="2" fontId="5" fillId="2" borderId="6" xfId="0" applyNumberFormat="1" applyFont="1" applyFill="1" applyBorder="1" applyAlignment="1">
      <alignment horizontal="center" vertical="center" wrapText="1"/>
    </xf>
    <xf numFmtId="2" fontId="1" fillId="6" borderId="10" xfId="0" applyNumberFormat="1" applyFont="1" applyFill="1" applyBorder="1" applyAlignment="1">
      <alignment horizontal="center" vertical="center" wrapText="1"/>
    </xf>
    <xf numFmtId="2" fontId="1" fillId="7" borderId="10" xfId="0" applyNumberFormat="1"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0" xfId="0" applyFont="1" applyBorder="1" applyAlignment="1">
      <alignment horizontal="left" vertical="center" wrapText="1"/>
    </xf>
    <xf numFmtId="0" fontId="6" fillId="11" borderId="10" xfId="0" applyFont="1" applyFill="1" applyBorder="1" applyAlignment="1">
      <alignment horizontal="center" vertical="center" wrapText="1"/>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9" xfId="0" applyFont="1" applyBorder="1" applyAlignment="1">
      <alignment vertical="center" wrapText="1"/>
    </xf>
    <xf numFmtId="0" fontId="14" fillId="0" borderId="9" xfId="0" applyFont="1" applyBorder="1" applyAlignment="1">
      <alignment horizontal="left" vertical="center" wrapText="1"/>
    </xf>
    <xf numFmtId="2" fontId="14" fillId="0" borderId="8" xfId="0" applyNumberFormat="1" applyFont="1" applyBorder="1" applyAlignment="1">
      <alignment horizontal="center" vertical="center" wrapText="1"/>
    </xf>
    <xf numFmtId="2" fontId="14" fillId="0" borderId="8" xfId="1"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0" xfId="0" quotePrefix="1" applyFont="1" applyBorder="1" applyAlignment="1">
      <alignment horizontal="left" vertical="center" wrapText="1"/>
    </xf>
    <xf numFmtId="0" fontId="15" fillId="0" borderId="0" xfId="3" applyAlignment="1">
      <alignment horizontal="left" vertical="top" readingOrder="1"/>
    </xf>
    <xf numFmtId="0" fontId="15" fillId="0" borderId="0" xfId="3" applyAlignment="1">
      <alignment horizontal="left" vertical="top"/>
    </xf>
    <xf numFmtId="0" fontId="15" fillId="0" borderId="0" xfId="3" applyAlignment="1">
      <alignment horizontal="left" vertical="top" wrapText="1"/>
    </xf>
    <xf numFmtId="0" fontId="15" fillId="0" borderId="0" xfId="3" applyAlignment="1">
      <alignment horizontal="left" vertical="top" wrapText="1" readingOrder="1"/>
    </xf>
    <xf numFmtId="0" fontId="16" fillId="12" borderId="10" xfId="3" applyFont="1" applyFill="1" applyBorder="1" applyAlignment="1">
      <alignment horizontal="center" vertical="center" wrapText="1" readingOrder="1"/>
    </xf>
    <xf numFmtId="0" fontId="16" fillId="13" borderId="10" xfId="3" applyFont="1" applyFill="1" applyBorder="1" applyAlignment="1">
      <alignment horizontal="center" vertical="center" wrapText="1"/>
    </xf>
    <xf numFmtId="0" fontId="15" fillId="0" borderId="10" xfId="3" applyBorder="1" applyAlignment="1">
      <alignment horizontal="left" vertical="top" wrapText="1"/>
    </xf>
    <xf numFmtId="0" fontId="17" fillId="0" borderId="10" xfId="3" applyFont="1" applyBorder="1" applyAlignment="1">
      <alignment horizontal="left" vertical="center" wrapText="1"/>
    </xf>
    <xf numFmtId="0" fontId="17" fillId="0" borderId="10" xfId="3" quotePrefix="1" applyFont="1" applyBorder="1" applyAlignment="1">
      <alignment horizontal="left" vertical="center" wrapText="1"/>
    </xf>
    <xf numFmtId="0" fontId="19" fillId="0" borderId="10" xfId="3" applyFont="1" applyBorder="1" applyAlignment="1">
      <alignment horizontal="center" vertical="center" wrapText="1"/>
    </xf>
    <xf numFmtId="0" fontId="18" fillId="0" borderId="10" xfId="3" quotePrefix="1" applyFont="1" applyBorder="1" applyAlignment="1">
      <alignment horizontal="left" vertical="center" wrapText="1"/>
    </xf>
    <xf numFmtId="0" fontId="20" fillId="0" borderId="0" xfId="3" applyFont="1" applyAlignment="1">
      <alignment horizontal="left" vertical="top" readingOrder="1"/>
    </xf>
    <xf numFmtId="0" fontId="20" fillId="0" borderId="0" xfId="3" applyFont="1" applyAlignment="1">
      <alignment horizontal="left" vertical="top" wrapText="1"/>
    </xf>
    <xf numFmtId="0" fontId="21" fillId="0" borderId="0" xfId="3" applyFont="1" applyAlignment="1">
      <alignment horizontal="left" vertical="top"/>
    </xf>
    <xf numFmtId="0" fontId="22" fillId="0" borderId="0" xfId="3" applyFont="1" applyAlignment="1">
      <alignment horizontal="left" vertical="center"/>
    </xf>
    <xf numFmtId="0" fontId="17" fillId="0" borderId="17" xfId="3" applyFont="1" applyBorder="1" applyAlignment="1">
      <alignment horizontal="center" vertical="center" wrapText="1"/>
    </xf>
    <xf numFmtId="0" fontId="23" fillId="0" borderId="10" xfId="3" applyFont="1" applyBorder="1" applyAlignment="1">
      <alignment horizontal="center" vertical="center" wrapText="1"/>
    </xf>
    <xf numFmtId="0" fontId="24" fillId="0" borderId="0" xfId="0" applyFont="1" applyAlignment="1">
      <alignment vertical="top"/>
    </xf>
    <xf numFmtId="0" fontId="0" fillId="0" borderId="0" xfId="0" applyAlignment="1">
      <alignment vertical="top"/>
    </xf>
    <xf numFmtId="0" fontId="0" fillId="0" borderId="0" xfId="0" applyAlignment="1">
      <alignment vertical="center"/>
    </xf>
    <xf numFmtId="0" fontId="0" fillId="0" borderId="10" xfId="0" applyBorder="1" applyAlignment="1">
      <alignment vertical="top" wrapText="1"/>
    </xf>
    <xf numFmtId="0" fontId="25" fillId="13" borderId="10" xfId="4" applyFont="1" applyFill="1" applyBorder="1" applyAlignment="1">
      <alignment horizontal="center" vertical="center" wrapText="1" readingOrder="1"/>
    </xf>
    <xf numFmtId="0" fontId="7" fillId="0" borderId="0" xfId="4"/>
    <xf numFmtId="0" fontId="16" fillId="13" borderId="10" xfId="4" applyFont="1" applyFill="1" applyBorder="1" applyAlignment="1">
      <alignment horizontal="left" vertical="center" wrapText="1"/>
    </xf>
    <xf numFmtId="0" fontId="26" fillId="0" borderId="10" xfId="4" applyFont="1" applyBorder="1" applyAlignment="1">
      <alignment horizontal="left" vertical="top"/>
    </xf>
    <xf numFmtId="0" fontId="7" fillId="0" borderId="10" xfId="4" applyBorder="1" applyAlignment="1">
      <alignment horizontal="left" vertical="top" wrapText="1"/>
    </xf>
    <xf numFmtId="0" fontId="7" fillId="0" borderId="10" xfId="4" applyBorder="1" applyAlignment="1">
      <alignment horizontal="left" vertical="top"/>
    </xf>
    <xf numFmtId="0" fontId="15" fillId="0" borderId="0" xfId="3"/>
    <xf numFmtId="0" fontId="27" fillId="13" borderId="10" xfId="3" applyFont="1" applyFill="1" applyBorder="1" applyAlignment="1">
      <alignment horizontal="center" vertical="top" wrapText="1" readingOrder="1"/>
    </xf>
    <xf numFmtId="0" fontId="27" fillId="0" borderId="0" xfId="3" applyFont="1" applyAlignment="1">
      <alignment horizontal="center" vertical="top" wrapText="1" readingOrder="1"/>
    </xf>
    <xf numFmtId="0" fontId="15" fillId="0" borderId="10" xfId="3" applyBorder="1" applyAlignment="1">
      <alignment vertical="top" wrapText="1"/>
    </xf>
    <xf numFmtId="9" fontId="26" fillId="0" borderId="10" xfId="5" applyFont="1" applyBorder="1"/>
    <xf numFmtId="0" fontId="15" fillId="0" borderId="10" xfId="3" applyBorder="1"/>
    <xf numFmtId="9" fontId="0" fillId="0" borderId="10" xfId="5" applyFont="1" applyBorder="1"/>
    <xf numFmtId="0" fontId="29" fillId="0" borderId="10" xfId="3" applyFont="1" applyBorder="1" applyAlignment="1">
      <alignment vertical="top" wrapText="1"/>
    </xf>
    <xf numFmtId="0" fontId="0" fillId="0" borderId="10" xfId="0" quotePrefix="1" applyBorder="1" applyAlignment="1">
      <alignment vertical="top" wrapText="1"/>
    </xf>
    <xf numFmtId="0" fontId="24" fillId="0" borderId="10" xfId="0" applyFont="1" applyBorder="1" applyAlignment="1">
      <alignment horizontal="center" vertical="center" wrapText="1"/>
    </xf>
    <xf numFmtId="0" fontId="24" fillId="0" borderId="10" xfId="0" applyFont="1" applyBorder="1" applyAlignment="1">
      <alignment horizontal="center" vertical="top" wrapText="1"/>
    </xf>
    <xf numFmtId="0" fontId="0" fillId="0" borderId="0" xfId="0" applyAlignment="1">
      <alignment vertical="top" wrapText="1"/>
    </xf>
    <xf numFmtId="0" fontId="0" fillId="0" borderId="17" xfId="0" applyBorder="1" applyAlignment="1">
      <alignment vertical="top" wrapText="1"/>
    </xf>
    <xf numFmtId="0" fontId="0" fillId="0" borderId="20" xfId="0" applyBorder="1" applyAlignment="1">
      <alignment vertical="top" wrapText="1"/>
    </xf>
    <xf numFmtId="0" fontId="0" fillId="0" borderId="7" xfId="0" applyBorder="1" applyAlignment="1">
      <alignment vertical="top" wrapText="1"/>
    </xf>
    <xf numFmtId="0" fontId="0" fillId="0" borderId="0" xfId="0" quotePrefix="1" applyAlignment="1">
      <alignment vertical="top" wrapText="1"/>
    </xf>
    <xf numFmtId="0" fontId="8" fillId="0" borderId="7" xfId="0" applyFont="1" applyFill="1" applyBorder="1" applyAlignment="1">
      <alignment horizontal="center" vertical="center" wrapText="1"/>
    </xf>
    <xf numFmtId="0" fontId="8" fillId="0" borderId="7" xfId="0" quotePrefix="1" applyFont="1" applyFill="1" applyBorder="1" applyAlignment="1">
      <alignment horizontal="left" vertical="center" wrapText="1"/>
    </xf>
    <xf numFmtId="2" fontId="8" fillId="0" borderId="7" xfId="0" applyNumberFormat="1" applyFont="1" applyFill="1" applyBorder="1" applyAlignment="1">
      <alignment horizontal="center" vertical="center" wrapText="1"/>
    </xf>
    <xf numFmtId="164" fontId="8" fillId="0" borderId="7" xfId="0" applyNumberFormat="1" applyFont="1" applyFill="1" applyBorder="1" applyAlignment="1">
      <alignment horizontal="center" vertical="center" wrapText="1"/>
    </xf>
    <xf numFmtId="0" fontId="14" fillId="0" borderId="10" xfId="0" applyFont="1" applyBorder="1" applyAlignment="1">
      <alignment horizontal="center" vertical="center" wrapText="1"/>
    </xf>
    <xf numFmtId="0" fontId="16" fillId="13" borderId="10" xfId="3" applyFont="1" applyFill="1" applyBorder="1" applyAlignment="1">
      <alignment horizontal="center"/>
    </xf>
    <xf numFmtId="0" fontId="27" fillId="13" borderId="10" xfId="3" applyFont="1" applyFill="1" applyBorder="1" applyAlignment="1">
      <alignment horizontal="center" vertical="top" wrapText="1" readingOrder="1"/>
    </xf>
    <xf numFmtId="0" fontId="16" fillId="13" borderId="17" xfId="4" applyFont="1" applyFill="1" applyBorder="1" applyAlignment="1">
      <alignment horizontal="center" vertical="center"/>
    </xf>
    <xf numFmtId="0" fontId="16" fillId="13" borderId="7" xfId="4" applyFont="1" applyFill="1" applyBorder="1" applyAlignment="1">
      <alignment horizontal="center" vertical="center"/>
    </xf>
    <xf numFmtId="0" fontId="25" fillId="13" borderId="10" xfId="4" applyFont="1" applyFill="1" applyBorder="1" applyAlignment="1">
      <alignment horizontal="center" vertical="center" wrapText="1" readingOrder="1"/>
    </xf>
    <xf numFmtId="0" fontId="16" fillId="13" borderId="17" xfId="4" applyFont="1" applyFill="1" applyBorder="1" applyAlignment="1">
      <alignment horizontal="center" vertical="center" wrapText="1"/>
    </xf>
    <xf numFmtId="0" fontId="16" fillId="13" borderId="7" xfId="4" applyFont="1" applyFill="1" applyBorder="1" applyAlignment="1">
      <alignment horizontal="center" vertical="center" wrapText="1"/>
    </xf>
    <xf numFmtId="0" fontId="25" fillId="13" borderId="17" xfId="4" applyFont="1" applyFill="1" applyBorder="1" applyAlignment="1">
      <alignment horizontal="center" vertical="center" wrapText="1" readingOrder="1"/>
    </xf>
    <xf numFmtId="0" fontId="25" fillId="13" borderId="7" xfId="4" applyFont="1" applyFill="1" applyBorder="1" applyAlignment="1">
      <alignment horizontal="center" vertical="center" wrapText="1" readingOrder="1"/>
    </xf>
    <xf numFmtId="0" fontId="24" fillId="0" borderId="10" xfId="0" applyFont="1" applyBorder="1" applyAlignment="1">
      <alignment horizontal="center" vertical="center" wrapText="1"/>
    </xf>
    <xf numFmtId="0" fontId="24" fillId="14" borderId="10" xfId="0" applyFont="1" applyFill="1" applyBorder="1" applyAlignment="1">
      <alignment horizontal="center" vertical="center" wrapText="1"/>
    </xf>
    <xf numFmtId="0" fontId="24" fillId="0" borderId="10" xfId="0" applyFont="1" applyBorder="1" applyAlignment="1">
      <alignment horizontal="center" vertical="top" wrapText="1"/>
    </xf>
    <xf numFmtId="0" fontId="24" fillId="15" borderId="10" xfId="0" applyFont="1" applyFill="1" applyBorder="1" applyAlignment="1">
      <alignment horizontal="center" vertical="center" wrapText="1"/>
    </xf>
    <xf numFmtId="0" fontId="0" fillId="0" borderId="17" xfId="0" applyBorder="1" applyAlignment="1">
      <alignment horizontal="left" vertical="top" wrapText="1"/>
    </xf>
    <xf numFmtId="0" fontId="0" fillId="0" borderId="20" xfId="0" applyBorder="1" applyAlignment="1">
      <alignment horizontal="left" vertical="top" wrapText="1"/>
    </xf>
    <xf numFmtId="0" fontId="0" fillId="0" borderId="10" xfId="0" applyBorder="1" applyAlignment="1">
      <alignment horizontal="left" vertical="top" wrapText="1"/>
    </xf>
    <xf numFmtId="0" fontId="0" fillId="0" borderId="17" xfId="0" applyBorder="1" applyAlignment="1">
      <alignment horizontal="center" vertical="top" wrapText="1"/>
    </xf>
    <xf numFmtId="0" fontId="0" fillId="0" borderId="20" xfId="0" applyBorder="1" applyAlignment="1">
      <alignment horizontal="center" vertical="top" wrapText="1"/>
    </xf>
    <xf numFmtId="0" fontId="0" fillId="0" borderId="7" xfId="0" applyBorder="1" applyAlignment="1">
      <alignment horizontal="center" vertical="top" wrapText="1"/>
    </xf>
    <xf numFmtId="0" fontId="20" fillId="0" borderId="0" xfId="3" applyFont="1" applyAlignment="1">
      <alignment horizontal="left" vertical="top" wrapText="1"/>
    </xf>
    <xf numFmtId="0" fontId="16" fillId="13" borderId="17" xfId="3" applyFont="1" applyFill="1" applyBorder="1" applyAlignment="1">
      <alignment horizontal="center" vertical="center" wrapText="1"/>
    </xf>
    <xf numFmtId="0" fontId="16" fillId="13" borderId="7" xfId="3" applyFont="1" applyFill="1" applyBorder="1" applyAlignment="1">
      <alignment horizontal="center" vertical="center" wrapText="1"/>
    </xf>
    <xf numFmtId="0" fontId="16" fillId="12" borderId="10" xfId="3" applyFont="1" applyFill="1" applyBorder="1" applyAlignment="1">
      <alignment horizontal="center" vertical="center" wrapText="1" readingOrder="1"/>
    </xf>
    <xf numFmtId="0" fontId="16" fillId="13" borderId="10" xfId="3" applyFont="1" applyFill="1" applyBorder="1" applyAlignment="1">
      <alignment horizontal="center" vertical="center" wrapText="1"/>
    </xf>
    <xf numFmtId="0" fontId="14" fillId="0" borderId="10"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1" fillId="9" borderId="2"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1" borderId="8" xfId="0" applyFont="1" applyFill="1" applyBorder="1" applyAlignment="1">
      <alignment horizontal="center" vertical="center" wrapText="1"/>
    </xf>
    <xf numFmtId="0" fontId="11" fillId="11" borderId="3" xfId="0" applyFont="1" applyFill="1" applyBorder="1" applyAlignment="1">
      <alignment horizontal="center" vertical="center" wrapText="1"/>
    </xf>
    <xf numFmtId="0" fontId="11" fillId="11" borderId="10"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1" borderId="9"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1" fillId="6" borderId="3" xfId="0" applyFont="1" applyFill="1" applyBorder="1" applyAlignment="1">
      <alignment horizontal="center" vertical="center" wrapText="1"/>
    </xf>
    <xf numFmtId="2" fontId="1" fillId="3" borderId="3" xfId="0" applyNumberFormat="1" applyFont="1" applyFill="1" applyBorder="1" applyAlignment="1">
      <alignment horizontal="center" vertical="center" wrapText="1"/>
    </xf>
    <xf numFmtId="2" fontId="1" fillId="3" borderId="10" xfId="0" applyNumberFormat="1"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32" fillId="0" borderId="10" xfId="0" applyFont="1" applyBorder="1" applyAlignment="1">
      <alignment vertical="center" wrapText="1"/>
    </xf>
    <xf numFmtId="0" fontId="0" fillId="0" borderId="0" xfId="0" quotePrefix="1" applyAlignment="1">
      <alignment wrapText="1"/>
    </xf>
    <xf numFmtId="0" fontId="8" fillId="0" borderId="7" xfId="0" applyFont="1" applyFill="1" applyBorder="1" applyAlignment="1">
      <alignment wrapText="1"/>
    </xf>
    <xf numFmtId="0" fontId="30" fillId="0" borderId="7" xfId="0" applyFont="1" applyFill="1" applyBorder="1" applyAlignment="1">
      <alignment horizontal="center" vertical="center" wrapText="1"/>
    </xf>
    <xf numFmtId="0" fontId="30" fillId="0" borderId="7" xfId="0" applyFont="1" applyFill="1" applyBorder="1" applyAlignment="1">
      <alignment horizontal="left" vertical="center" wrapText="1"/>
    </xf>
    <xf numFmtId="1" fontId="30" fillId="0" borderId="7" xfId="0" applyNumberFormat="1" applyFont="1" applyFill="1" applyBorder="1" applyAlignment="1">
      <alignment horizontal="left" vertical="center" wrapText="1"/>
    </xf>
    <xf numFmtId="43" fontId="30" fillId="0" borderId="7" xfId="1" applyFont="1" applyFill="1" applyBorder="1" applyAlignment="1">
      <alignment horizontal="center" vertical="center" wrapText="1"/>
    </xf>
    <xf numFmtId="164" fontId="30" fillId="0" borderId="7" xfId="1" applyNumberFormat="1" applyFont="1" applyFill="1" applyBorder="1" applyAlignment="1">
      <alignment horizontal="center" vertical="center" wrapText="1"/>
    </xf>
    <xf numFmtId="10" fontId="30" fillId="0" borderId="7" xfId="2" applyNumberFormat="1" applyFont="1" applyFill="1" applyBorder="1" applyAlignment="1">
      <alignment horizontal="center" vertical="center" wrapText="1"/>
    </xf>
    <xf numFmtId="10" fontId="8" fillId="0" borderId="7" xfId="2" quotePrefix="1" applyNumberFormat="1" applyFont="1" applyFill="1" applyBorder="1" applyAlignment="1">
      <alignment horizontal="center" vertical="center" wrapText="1"/>
    </xf>
    <xf numFmtId="0" fontId="3" fillId="0" borderId="0" xfId="0" applyFont="1" applyFill="1"/>
    <xf numFmtId="0" fontId="8" fillId="0" borderId="10" xfId="0" applyFont="1" applyFill="1" applyBorder="1" applyAlignment="1">
      <alignment wrapText="1"/>
    </xf>
    <xf numFmtId="0" fontId="8" fillId="0" borderId="10" xfId="0" applyFont="1" applyFill="1" applyBorder="1" applyAlignment="1">
      <alignment horizontal="center" vertical="center" wrapText="1"/>
    </xf>
    <xf numFmtId="0" fontId="30" fillId="0" borderId="10" xfId="0" applyFont="1" applyFill="1" applyBorder="1" applyAlignment="1">
      <alignment horizontal="left" vertical="center" wrapText="1"/>
    </xf>
    <xf numFmtId="1" fontId="30" fillId="0" borderId="10" xfId="0" applyNumberFormat="1" applyFont="1" applyFill="1" applyBorder="1" applyAlignment="1">
      <alignment horizontal="left" vertical="center" wrapText="1"/>
    </xf>
    <xf numFmtId="43" fontId="30" fillId="0" borderId="10" xfId="1" applyFont="1" applyFill="1" applyBorder="1" applyAlignment="1">
      <alignment horizontal="center" vertical="center" wrapText="1"/>
    </xf>
    <xf numFmtId="164" fontId="30" fillId="0" borderId="10" xfId="1" applyNumberFormat="1" applyFont="1" applyFill="1" applyBorder="1" applyAlignment="1">
      <alignment horizontal="center" vertical="center" wrapText="1"/>
    </xf>
    <xf numFmtId="0" fontId="30" fillId="0" borderId="10" xfId="0" applyFont="1" applyFill="1" applyBorder="1" applyAlignment="1">
      <alignment horizontal="center" vertical="center" wrapText="1"/>
    </xf>
    <xf numFmtId="43" fontId="30" fillId="0" borderId="10" xfId="0" applyNumberFormat="1" applyFont="1" applyFill="1" applyBorder="1" applyAlignment="1">
      <alignment horizontal="center" vertical="center" wrapText="1"/>
    </xf>
    <xf numFmtId="0" fontId="30" fillId="0" borderId="10" xfId="0" applyFont="1" applyFill="1" applyBorder="1" applyAlignment="1">
      <alignment horizontal="left" vertical="center"/>
    </xf>
    <xf numFmtId="164" fontId="30" fillId="0" borderId="10" xfId="1" applyNumberFormat="1" applyFont="1" applyFill="1" applyBorder="1" applyAlignment="1">
      <alignment vertical="center"/>
    </xf>
    <xf numFmtId="0" fontId="31" fillId="0" borderId="10" xfId="0" applyFont="1" applyFill="1" applyBorder="1" applyAlignment="1">
      <alignment vertical="center"/>
    </xf>
    <xf numFmtId="0" fontId="3" fillId="0" borderId="10" xfId="0" applyFont="1" applyFill="1" applyBorder="1" applyAlignment="1">
      <alignment vertical="center"/>
    </xf>
    <xf numFmtId="0" fontId="3" fillId="0" borderId="10" xfId="0" applyFont="1" applyFill="1" applyBorder="1"/>
    <xf numFmtId="164" fontId="30" fillId="0" borderId="7" xfId="0" applyNumberFormat="1" applyFont="1" applyFill="1" applyBorder="1" applyAlignment="1">
      <alignment horizontal="center" vertical="center" wrapText="1"/>
    </xf>
    <xf numFmtId="10" fontId="30" fillId="0" borderId="7" xfId="2" quotePrefix="1" applyNumberFormat="1" applyFont="1" applyFill="1" applyBorder="1" applyAlignment="1">
      <alignment horizontal="center" vertical="center" wrapText="1"/>
    </xf>
    <xf numFmtId="2" fontId="30" fillId="0" borderId="7" xfId="0" applyNumberFormat="1" applyFont="1" applyFill="1" applyBorder="1" applyAlignment="1">
      <alignment horizontal="center" vertical="center" wrapText="1"/>
    </xf>
    <xf numFmtId="0" fontId="30" fillId="0" borderId="7" xfId="0" quotePrefix="1" applyFont="1" applyFill="1" applyBorder="1" applyAlignment="1">
      <alignment horizontal="left" vertical="center" wrapText="1"/>
    </xf>
    <xf numFmtId="0" fontId="30" fillId="0" borderId="10" xfId="0" applyFont="1" applyFill="1" applyBorder="1" applyAlignment="1">
      <alignment wrapText="1"/>
    </xf>
    <xf numFmtId="0" fontId="31" fillId="0" borderId="0" xfId="0" applyFont="1" applyFill="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9" fontId="0" fillId="0" borderId="0" xfId="2" applyFont="1"/>
    <xf numFmtId="2" fontId="14" fillId="0" borderId="9" xfId="0" applyNumberFormat="1" applyFont="1" applyBorder="1" applyAlignment="1">
      <alignment horizontal="center" vertical="center" wrapText="1"/>
    </xf>
    <xf numFmtId="0" fontId="3" fillId="0" borderId="10" xfId="0" quotePrefix="1" applyFont="1" applyBorder="1" applyAlignment="1">
      <alignment horizontal="left" vertical="top" wrapText="1"/>
    </xf>
    <xf numFmtId="164" fontId="0" fillId="0" borderId="0" xfId="1" applyNumberFormat="1" applyFont="1"/>
    <xf numFmtId="10" fontId="0" fillId="0" borderId="0" xfId="2" applyNumberFormat="1" applyFont="1"/>
  </cellXfs>
  <cellStyles count="6">
    <cellStyle name="Comma" xfId="1" builtinId="3"/>
    <cellStyle name="Normal" xfId="0" builtinId="0"/>
    <cellStyle name="Normal 2" xfId="3" xr:uid="{00000000-0005-0000-0000-000002000000}"/>
    <cellStyle name="Normal 2 2" xfId="4" xr:uid="{00000000-0005-0000-0000-000003000000}"/>
    <cellStyle name="Percent" xfId="2" builtinId="5"/>
    <cellStyle name="Percent 2" xfId="5" xr:uid="{00000000-0005-0000-0000-000005000000}"/>
  </cellStyles>
  <dxfs count="13">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7030A0"/>
        </patternFill>
      </fill>
    </dxf>
    <dxf>
      <font>
        <b/>
        <i val="0"/>
      </font>
      <fill>
        <patternFill>
          <bgColor rgb="FFFFFF00"/>
        </patternFill>
      </fill>
    </dxf>
    <dxf>
      <font>
        <b/>
        <i val="0"/>
      </font>
      <fill>
        <patternFill>
          <bgColor rgb="FF00B050"/>
        </patternFill>
      </fill>
    </dxf>
    <dxf>
      <font>
        <b/>
        <i val="0"/>
      </font>
      <fill>
        <patternFill>
          <bgColor rgb="FF92D050"/>
        </patternFill>
      </fill>
    </dxf>
    <dxf>
      <font>
        <b/>
        <i val="0"/>
      </font>
      <fill>
        <patternFill>
          <bgColor rgb="FFFFFF00"/>
        </patternFill>
      </fill>
    </dxf>
    <dxf>
      <font>
        <b/>
        <i val="0"/>
      </font>
      <fill>
        <patternFill>
          <bgColor theme="8" tint="0.59996337778862885"/>
        </patternFill>
      </fill>
    </dxf>
    <dxf>
      <font>
        <b/>
        <i val="0"/>
      </font>
      <fill>
        <patternFill>
          <bgColor rgb="FFFF0000"/>
        </patternFill>
      </fill>
    </dxf>
  </dxfs>
  <tableStyles count="0" defaultTableStyle="TableStyleMedium2" defaultPivotStyle="PivotStyleLight16"/>
  <colors>
    <mruColors>
      <color rgb="FFD3EBE7"/>
      <color rgb="FFA7D8CF"/>
      <color rgb="FF00656D"/>
      <color rgb="FF7BC4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yron/Desktop/for%20CDRA/Output/4.%20Storm%20Surge%20(Feb%2020)/(Storm%20Surge)%20CDRA%20Worksheet%20for%20DRR-CCA_CE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yron/Downloads/CDRA%20ENVI%20SECTOR_v03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1.2 Map Inventory"/>
      <sheetName val="1.3 Hazards Description"/>
      <sheetName val="1.4"/>
      <sheetName val="1.5"/>
      <sheetName val="2.1"/>
      <sheetName val="2.2"/>
      <sheetName val="3.1-4.1 Population"/>
      <sheetName val="3.3-4.3 Urban Use Area"/>
      <sheetName val="3.2-4.2 Resource Production"/>
      <sheetName val="3.5-4.5 Lifeline Utilities"/>
      <sheetName val="5.1 Population"/>
      <sheetName val="5.2 Resource Production"/>
      <sheetName val="5.3 Urban Use Area"/>
      <sheetName val="5.5 Lifeline Utilities"/>
      <sheetName val="6. Summary"/>
      <sheetName val="Technical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6">
          <cell r="L6" t="str">
            <v>BRIDGE</v>
          </cell>
        </row>
        <row r="7">
          <cell r="L7" t="str">
            <v>COMMUNICATION LINE</v>
          </cell>
        </row>
        <row r="8">
          <cell r="L8" t="str">
            <v>POWER LINE</v>
          </cell>
        </row>
        <row r="9">
          <cell r="L9" t="str">
            <v>NATIONAL ROAD</v>
          </cell>
        </row>
        <row r="10">
          <cell r="L10" t="str">
            <v>PROVINCIAL ROAD</v>
          </cell>
        </row>
        <row r="11">
          <cell r="L11" t="str">
            <v>MUNICIPAL ROAD</v>
          </cell>
        </row>
        <row r="12">
          <cell r="L12" t="str">
            <v>BARANGAY ROAD</v>
          </cell>
        </row>
        <row r="13">
          <cell r="L13" t="str">
            <v>WATER LINE</v>
          </cell>
        </row>
        <row r="14">
          <cell r="L14" t="str">
            <v>OTHERS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Hazards"/>
      <sheetName val="FLOODING"/>
      <sheetName val="STORM SURGE"/>
      <sheetName val="DROUGHT"/>
      <sheetName val="RAIN INDUCED LANDSLIDE"/>
      <sheetName val="SEA LEVEL RISE"/>
    </sheetNames>
    <sheetDataSet>
      <sheetData sheetId="0"/>
      <sheetData sheetId="1">
        <row r="4">
          <cell r="F4" t="str">
            <v>Agusan Pequeño</v>
          </cell>
          <cell r="G4">
            <v>98.525300000000001</v>
          </cell>
          <cell r="H4">
            <v>98</v>
          </cell>
          <cell r="I4">
            <v>68.599999999999994</v>
          </cell>
          <cell r="J4">
            <v>70</v>
          </cell>
          <cell r="K4" t="str">
            <v>0 Flora, 5 Fauna</v>
          </cell>
          <cell r="M4">
            <v>5070</v>
          </cell>
          <cell r="N4">
            <v>5042.9686588114928</v>
          </cell>
          <cell r="O4">
            <v>1014</v>
          </cell>
          <cell r="R4">
            <v>5</v>
          </cell>
          <cell r="T4">
            <v>70</v>
          </cell>
          <cell r="U4">
            <v>5</v>
          </cell>
          <cell r="V4">
            <v>99.466837451903217</v>
          </cell>
          <cell r="W4">
            <v>5</v>
          </cell>
          <cell r="X4">
            <v>99.466837451903217</v>
          </cell>
          <cell r="Y4">
            <v>5</v>
          </cell>
          <cell r="Z4">
            <v>5</v>
          </cell>
          <cell r="AB4">
            <v>5</v>
          </cell>
          <cell r="AC4" t="str">
            <v>HIGH</v>
          </cell>
          <cell r="AD4" t="str">
            <v>DRRM Funds</v>
          </cell>
          <cell r="AE4">
            <v>2</v>
          </cell>
          <cell r="AF4" t="str">
            <v>IEC on Environmental Awareness, Early Warning Stations (Flooding), IEC on Disaster Preparedness</v>
          </cell>
          <cell r="AG4">
            <v>3</v>
          </cell>
          <cell r="AH4" t="str">
            <v>Mangrove Planting, Early Warning Systems</v>
          </cell>
          <cell r="AI4">
            <v>3</v>
          </cell>
          <cell r="AJ4" t="str">
            <v>Incident Command System, CVO/Tanod, BDRRMP                                                        CBFM/ISF</v>
          </cell>
          <cell r="AK4">
            <v>3</v>
          </cell>
          <cell r="AM4" t="str">
            <v>Funds and Relief Goods for Disaster affected area Trained Emergency Response Team</v>
          </cell>
          <cell r="AN4">
            <v>3</v>
          </cell>
          <cell r="AO4">
            <v>2.75</v>
          </cell>
          <cell r="AQ4">
            <v>1.8181818181818181</v>
          </cell>
          <cell r="AR4" t="str">
            <v>MEDIUM LOW</v>
          </cell>
          <cell r="AS4">
            <v>3</v>
          </cell>
        </row>
        <row r="5">
          <cell r="F5" t="str">
            <v>Ambago</v>
          </cell>
          <cell r="G5">
            <v>425.827</v>
          </cell>
          <cell r="H5">
            <v>116</v>
          </cell>
          <cell r="I5">
            <v>104.4</v>
          </cell>
          <cell r="J5">
            <v>90</v>
          </cell>
          <cell r="M5">
            <v>12656</v>
          </cell>
          <cell r="N5">
            <v>3447.6348376218507</v>
          </cell>
          <cell r="O5">
            <v>2531.1999999999998</v>
          </cell>
          <cell r="R5">
            <v>5</v>
          </cell>
          <cell r="T5">
            <v>90</v>
          </cell>
          <cell r="U5">
            <v>5</v>
          </cell>
          <cell r="V5">
            <v>27.241109652511465</v>
          </cell>
          <cell r="W5">
            <v>3</v>
          </cell>
          <cell r="X5">
            <v>27.241109652511465</v>
          </cell>
          <cell r="Y5">
            <v>3</v>
          </cell>
          <cell r="Z5">
            <v>3</v>
          </cell>
          <cell r="AB5">
            <v>4</v>
          </cell>
          <cell r="AC5" t="str">
            <v>MEDIUM HIGH</v>
          </cell>
          <cell r="AD5" t="str">
            <v>DRRM Funds</v>
          </cell>
          <cell r="AE5">
            <v>2</v>
          </cell>
          <cell r="AF5" t="str">
            <v>IEC on Environmental Awareness, Early Warning Stations (Flooding), IEC on Disaster Preparedness</v>
          </cell>
          <cell r="AG5">
            <v>3</v>
          </cell>
          <cell r="AH5" t="str">
            <v>Early Warning Systems</v>
          </cell>
          <cell r="AI5">
            <v>3</v>
          </cell>
          <cell r="AJ5" t="str">
            <v>Incident Command System, CVO/Tanod, BDRRMP                                                        CBFM/ISF</v>
          </cell>
          <cell r="AK5">
            <v>3</v>
          </cell>
          <cell r="AM5" t="str">
            <v>Funds and Relief Goods for Disaster affected area Trained Emergency Response Team</v>
          </cell>
          <cell r="AN5">
            <v>3</v>
          </cell>
          <cell r="AO5">
            <v>2.75</v>
          </cell>
          <cell r="AQ5">
            <v>1.4545454545454546</v>
          </cell>
          <cell r="AR5" t="str">
            <v>MEDIUM LOW</v>
          </cell>
          <cell r="AS5">
            <v>4</v>
          </cell>
        </row>
        <row r="6">
          <cell r="F6" t="str">
            <v>Amparo</v>
          </cell>
          <cell r="G6">
            <v>1851.4331</v>
          </cell>
          <cell r="H6">
            <v>837</v>
          </cell>
          <cell r="I6">
            <v>49.25</v>
          </cell>
          <cell r="J6">
            <v>5.8841099163679811</v>
          </cell>
          <cell r="M6">
            <v>2981</v>
          </cell>
          <cell r="N6">
            <v>317.19050502013818</v>
          </cell>
          <cell r="O6">
            <v>596.20000000000005</v>
          </cell>
          <cell r="Q6" t="str">
            <v>224.67 ISF</v>
          </cell>
          <cell r="R6">
            <v>3</v>
          </cell>
          <cell r="T6">
            <v>5.8841099163679811</v>
          </cell>
          <cell r="U6">
            <v>3</v>
          </cell>
          <cell r="V6">
            <v>10.640406072463541</v>
          </cell>
          <cell r="W6">
            <v>2</v>
          </cell>
          <cell r="X6">
            <v>10.640406072463541</v>
          </cell>
          <cell r="Y6">
            <v>2</v>
          </cell>
          <cell r="Z6">
            <v>2</v>
          </cell>
          <cell r="AB6">
            <v>2.5</v>
          </cell>
          <cell r="AC6" t="str">
            <v>MEDIUM</v>
          </cell>
          <cell r="AD6" t="str">
            <v>DRRM Funds</v>
          </cell>
          <cell r="AE6">
            <v>2</v>
          </cell>
          <cell r="AF6" t="str">
            <v>IEC on Environmental Awareness, Early Warning Stations (Flooding), IEC on Disaster Preparedness</v>
          </cell>
          <cell r="AG6">
            <v>3</v>
          </cell>
          <cell r="AH6" t="str">
            <v>Tree growing ,Early Warning Systems</v>
          </cell>
          <cell r="AI6">
            <v>3</v>
          </cell>
          <cell r="AJ6" t="str">
            <v>Incident Command System, CVO/Tanod, BDRRMP                                                        CBFM/ISF</v>
          </cell>
          <cell r="AK6">
            <v>3</v>
          </cell>
          <cell r="AM6" t="str">
            <v>Funds and Relief Goods for Disaster affected area Trained Emergency Response Team</v>
          </cell>
          <cell r="AN6">
            <v>3</v>
          </cell>
          <cell r="AO6">
            <v>2.75</v>
          </cell>
          <cell r="AQ6">
            <v>0.90909090909090906</v>
          </cell>
          <cell r="AR6" t="str">
            <v>LOW</v>
          </cell>
          <cell r="AS6">
            <v>1</v>
          </cell>
        </row>
        <row r="7">
          <cell r="F7" t="str">
            <v>Anticala</v>
          </cell>
          <cell r="G7">
            <v>6743.8158000000003</v>
          </cell>
          <cell r="H7">
            <v>4342</v>
          </cell>
          <cell r="I7">
            <v>347.36</v>
          </cell>
          <cell r="J7">
            <v>8</v>
          </cell>
          <cell r="K7" t="str">
            <v>88 Flora, 25 Fauna</v>
          </cell>
          <cell r="L7">
            <v>1</v>
          </cell>
          <cell r="M7">
            <v>3864</v>
          </cell>
          <cell r="N7">
            <v>2487.8330751560561</v>
          </cell>
          <cell r="O7">
            <v>772.8</v>
          </cell>
          <cell r="P7">
            <v>3705.07</v>
          </cell>
          <cell r="R7">
            <v>2</v>
          </cell>
          <cell r="T7">
            <v>8</v>
          </cell>
          <cell r="U7">
            <v>2</v>
          </cell>
          <cell r="V7">
            <v>64.384913953314083</v>
          </cell>
          <cell r="W7">
            <v>5</v>
          </cell>
          <cell r="X7">
            <v>64.384913953314083</v>
          </cell>
          <cell r="Y7">
            <v>5</v>
          </cell>
          <cell r="Z7">
            <v>5</v>
          </cell>
          <cell r="AB7">
            <v>3.5</v>
          </cell>
          <cell r="AC7" t="str">
            <v>MEDIUM HIGH</v>
          </cell>
          <cell r="AD7" t="str">
            <v>DRRM Funds</v>
          </cell>
          <cell r="AE7">
            <v>2</v>
          </cell>
          <cell r="AF7" t="str">
            <v>IEC on Environmental Awareness, Early Warning Stations (Flooding), IEC on Disaster Preparedness</v>
          </cell>
          <cell r="AG7">
            <v>3</v>
          </cell>
          <cell r="AH7" t="str">
            <v>Tree growing and river clean-up ,Early Warning Systems</v>
          </cell>
          <cell r="AI7">
            <v>3</v>
          </cell>
          <cell r="AJ7" t="str">
            <v>Incident Command System, CVO/Tanod, BDRRMP                                                        CBFM/ISF</v>
          </cell>
          <cell r="AK7">
            <v>3</v>
          </cell>
          <cell r="AM7" t="str">
            <v>Funds and Relief Goods for Disaster affected area Trained Emergency Response Team</v>
          </cell>
          <cell r="AN7">
            <v>3</v>
          </cell>
          <cell r="AO7">
            <v>2.75</v>
          </cell>
          <cell r="AQ7">
            <v>1.2727272727272727</v>
          </cell>
          <cell r="AR7" t="str">
            <v>MEDIUM LOW</v>
          </cell>
          <cell r="AS7">
            <v>1</v>
          </cell>
        </row>
        <row r="8">
          <cell r="F8" t="str">
            <v>Antongalon</v>
          </cell>
          <cell r="G8">
            <v>626.89530000000002</v>
          </cell>
          <cell r="H8">
            <v>627</v>
          </cell>
          <cell r="I8">
            <v>564.30000000000007</v>
          </cell>
          <cell r="J8">
            <v>90.000000000000014</v>
          </cell>
          <cell r="K8" t="str">
            <v>16 Flora,19 Fauna</v>
          </cell>
          <cell r="M8">
            <v>3643</v>
          </cell>
          <cell r="N8">
            <v>3643.6084303072616</v>
          </cell>
          <cell r="O8">
            <v>728.6</v>
          </cell>
          <cell r="R8">
            <v>3</v>
          </cell>
          <cell r="T8">
            <v>90.000000000000014</v>
          </cell>
          <cell r="U8">
            <v>5</v>
          </cell>
          <cell r="V8">
            <v>100.0167013534796</v>
          </cell>
          <cell r="W8">
            <v>5</v>
          </cell>
          <cell r="X8">
            <v>100.0167013534796</v>
          </cell>
          <cell r="Y8">
            <v>5</v>
          </cell>
          <cell r="Z8">
            <v>5</v>
          </cell>
          <cell r="AB8">
            <v>4</v>
          </cell>
          <cell r="AC8" t="str">
            <v>MEDIUM HIGH</v>
          </cell>
          <cell r="AD8" t="str">
            <v>DRRM Funds</v>
          </cell>
          <cell r="AE8">
            <v>2</v>
          </cell>
          <cell r="AF8" t="str">
            <v>IEC on Environmental Awareness, Early Warning Stations (Flooding), IEC on Disaster Preparedness</v>
          </cell>
          <cell r="AG8">
            <v>3</v>
          </cell>
          <cell r="AH8" t="str">
            <v xml:space="preserve"> Early Warning Systems</v>
          </cell>
          <cell r="AI8">
            <v>3</v>
          </cell>
          <cell r="AJ8" t="str">
            <v>Incident Command System, CVO/Tanod, BDRRMP                                                        CBFM/ISF</v>
          </cell>
          <cell r="AK8">
            <v>3</v>
          </cell>
          <cell r="AM8" t="str">
            <v>Funds and Relief Goods for Disaster affected area Trained Emergency Response Team</v>
          </cell>
          <cell r="AN8">
            <v>3</v>
          </cell>
          <cell r="AO8">
            <v>2.75</v>
          </cell>
          <cell r="AQ8">
            <v>1.4545454545454546</v>
          </cell>
          <cell r="AR8" t="str">
            <v>MEDIUM LOW</v>
          </cell>
          <cell r="AS8">
            <v>4</v>
          </cell>
        </row>
        <row r="9">
          <cell r="F9" t="str">
            <v>Babag</v>
          </cell>
          <cell r="G9">
            <v>435.26299999999901</v>
          </cell>
          <cell r="H9">
            <v>435</v>
          </cell>
          <cell r="I9">
            <v>413.25</v>
          </cell>
          <cell r="J9">
            <v>95</v>
          </cell>
          <cell r="K9" t="str">
            <v>0 Flora, 3 Fauna</v>
          </cell>
          <cell r="M9">
            <v>1823</v>
          </cell>
          <cell r="N9">
            <v>1821.8984843646297</v>
          </cell>
          <cell r="O9">
            <v>364.6</v>
          </cell>
          <cell r="Q9" t="str">
            <v>45.7 ISF</v>
          </cell>
          <cell r="R9">
            <v>5</v>
          </cell>
          <cell r="T9">
            <v>95</v>
          </cell>
          <cell r="U9">
            <v>5</v>
          </cell>
          <cell r="V9">
            <v>99.939576761636289</v>
          </cell>
          <cell r="W9">
            <v>5</v>
          </cell>
          <cell r="X9">
            <v>99.939576761636289</v>
          </cell>
          <cell r="Y9">
            <v>5</v>
          </cell>
          <cell r="Z9">
            <v>5</v>
          </cell>
          <cell r="AB9">
            <v>5</v>
          </cell>
          <cell r="AC9" t="str">
            <v>HIGH</v>
          </cell>
          <cell r="AD9" t="str">
            <v>DRRM Funds</v>
          </cell>
          <cell r="AE9">
            <v>2</v>
          </cell>
          <cell r="AF9" t="str">
            <v>IEC on Environmental Awareness, Early Warning Stations (Flooding), IEC on Disaster Preparedness</v>
          </cell>
          <cell r="AG9">
            <v>3</v>
          </cell>
          <cell r="AH9" t="str">
            <v>Tree growing, Early Warning Systems</v>
          </cell>
          <cell r="AI9">
            <v>3</v>
          </cell>
          <cell r="AJ9" t="str">
            <v>Incident Command System, CVO/Tanod, BDRRMP                                                        CBFM/ISF</v>
          </cell>
          <cell r="AK9">
            <v>3</v>
          </cell>
          <cell r="AM9" t="str">
            <v>Funds and Relief Goods for Disaster affected area Trained Emergency Response Team</v>
          </cell>
          <cell r="AN9">
            <v>3</v>
          </cell>
          <cell r="AO9">
            <v>2.75</v>
          </cell>
          <cell r="AQ9">
            <v>1.8181818181818181</v>
          </cell>
          <cell r="AR9" t="str">
            <v>MEDIUM LOW</v>
          </cell>
          <cell r="AS9">
            <v>4</v>
          </cell>
        </row>
        <row r="10">
          <cell r="F10" t="str">
            <v>Bancasi</v>
          </cell>
          <cell r="G10">
            <v>837.95659999999896</v>
          </cell>
          <cell r="H10">
            <v>142</v>
          </cell>
          <cell r="I10">
            <v>71</v>
          </cell>
          <cell r="J10">
            <v>50</v>
          </cell>
          <cell r="M10">
            <v>4925</v>
          </cell>
          <cell r="N10">
            <v>834.5897627633708</v>
          </cell>
          <cell r="O10">
            <v>985</v>
          </cell>
          <cell r="P10">
            <v>83.84</v>
          </cell>
          <cell r="R10">
            <v>3</v>
          </cell>
          <cell r="T10">
            <v>50</v>
          </cell>
          <cell r="U10">
            <v>4</v>
          </cell>
          <cell r="V10">
            <v>16.945985030728341</v>
          </cell>
          <cell r="W10">
            <v>3</v>
          </cell>
          <cell r="X10">
            <v>16.945985030728341</v>
          </cell>
          <cell r="Y10">
            <v>3</v>
          </cell>
          <cell r="Z10">
            <v>3</v>
          </cell>
          <cell r="AB10">
            <v>3</v>
          </cell>
          <cell r="AC10" t="str">
            <v>MEDIUM</v>
          </cell>
          <cell r="AD10" t="str">
            <v>DRRM Funds</v>
          </cell>
          <cell r="AE10">
            <v>2</v>
          </cell>
          <cell r="AF10" t="str">
            <v>IEC on Environmental Awareness, Early Warning Stations (Flooding), IEC on Disaster Preparedness</v>
          </cell>
          <cell r="AG10">
            <v>3</v>
          </cell>
          <cell r="AH10" t="str">
            <v>Tree growing, Early Warning Systems</v>
          </cell>
          <cell r="AI10">
            <v>3</v>
          </cell>
          <cell r="AJ10" t="str">
            <v>Incident Command System, CVO/Tanod, BDRRMP                                                        CBFM/ISF</v>
          </cell>
          <cell r="AK10">
            <v>3</v>
          </cell>
          <cell r="AM10" t="str">
            <v>Funds and Relief Goods for Disaster affected area Trained Emergency Response Team</v>
          </cell>
          <cell r="AN10">
            <v>3</v>
          </cell>
          <cell r="AO10">
            <v>2.75</v>
          </cell>
          <cell r="AQ10">
            <v>1.0909090909090908</v>
          </cell>
          <cell r="AR10" t="str">
            <v>MEDIUM LOW</v>
          </cell>
          <cell r="AS10">
            <v>2</v>
          </cell>
        </row>
        <row r="11">
          <cell r="F11" t="str">
            <v>Basag</v>
          </cell>
          <cell r="G11">
            <v>451.19159999999903</v>
          </cell>
          <cell r="H11">
            <v>451</v>
          </cell>
          <cell r="I11">
            <v>405.90000000000003</v>
          </cell>
          <cell r="J11">
            <v>90</v>
          </cell>
          <cell r="K11" t="str">
            <v>1 Flora, 4 Fauna</v>
          </cell>
          <cell r="M11">
            <v>3786</v>
          </cell>
          <cell r="N11">
            <v>3784.3922626219187</v>
          </cell>
          <cell r="O11">
            <v>757.2</v>
          </cell>
          <cell r="R11">
            <v>2</v>
          </cell>
          <cell r="T11">
            <v>90</v>
          </cell>
          <cell r="U11">
            <v>5</v>
          </cell>
          <cell r="V11">
            <v>99.957534670415185</v>
          </cell>
          <cell r="W11">
            <v>5</v>
          </cell>
          <cell r="X11">
            <v>99.957534670415185</v>
          </cell>
          <cell r="Y11">
            <v>5</v>
          </cell>
          <cell r="Z11">
            <v>5</v>
          </cell>
          <cell r="AB11">
            <v>3.5</v>
          </cell>
          <cell r="AC11" t="str">
            <v>MEDIUM HIGH</v>
          </cell>
          <cell r="AD11" t="str">
            <v>DRRM Funds</v>
          </cell>
          <cell r="AE11">
            <v>2</v>
          </cell>
          <cell r="AF11" t="str">
            <v>IEC on Environmental Awareness, Early Warning Stations (Flooding), IEC on Disaster Preparedness</v>
          </cell>
          <cell r="AG11">
            <v>3</v>
          </cell>
          <cell r="AH11" t="str">
            <v xml:space="preserve"> Early Warning Systems</v>
          </cell>
          <cell r="AI11">
            <v>3</v>
          </cell>
          <cell r="AJ11" t="str">
            <v>Incident Command System, CVO/Tanod, BDRRMP                                                        CBFM/ISF</v>
          </cell>
          <cell r="AK11">
            <v>3</v>
          </cell>
          <cell r="AM11" t="str">
            <v>Funds and Relief Goods for Disaster affected area Trained Emergency Response Team</v>
          </cell>
          <cell r="AN11">
            <v>3</v>
          </cell>
          <cell r="AO11">
            <v>2.75</v>
          </cell>
          <cell r="AQ11">
            <v>1.2727272727272727</v>
          </cell>
          <cell r="AR11" t="str">
            <v>MEDIUM LOW</v>
          </cell>
          <cell r="AS11">
            <v>4</v>
          </cell>
        </row>
        <row r="12">
          <cell r="F12" t="str">
            <v>Bilay</v>
          </cell>
          <cell r="G12">
            <v>749.24850000000004</v>
          </cell>
          <cell r="H12">
            <v>826</v>
          </cell>
          <cell r="I12">
            <v>123.89999999999999</v>
          </cell>
          <cell r="J12">
            <v>15</v>
          </cell>
          <cell r="K12" t="str">
            <v>1 Flora, 5 Fauna</v>
          </cell>
          <cell r="M12">
            <v>1349</v>
          </cell>
          <cell r="N12">
            <v>1349</v>
          </cell>
          <cell r="O12">
            <v>269.8</v>
          </cell>
          <cell r="R12">
            <v>2</v>
          </cell>
          <cell r="T12">
            <v>15</v>
          </cell>
          <cell r="U12">
            <v>2</v>
          </cell>
          <cell r="V12">
            <v>100</v>
          </cell>
          <cell r="W12">
            <v>5</v>
          </cell>
          <cell r="X12">
            <v>100</v>
          </cell>
          <cell r="Y12">
            <v>5</v>
          </cell>
          <cell r="Z12">
            <v>5</v>
          </cell>
          <cell r="AB12">
            <v>3.5</v>
          </cell>
          <cell r="AC12" t="str">
            <v>MEDIUM HIGH</v>
          </cell>
          <cell r="AD12" t="str">
            <v>DRRM Funds</v>
          </cell>
          <cell r="AE12">
            <v>2</v>
          </cell>
          <cell r="AF12" t="str">
            <v>IEC on Environmental Awareness, Early Warning Stations (Flooding), IEC on Disaster Preparedness</v>
          </cell>
          <cell r="AG12">
            <v>3</v>
          </cell>
          <cell r="AH12" t="str">
            <v>Tree growing, Early Warning Systems</v>
          </cell>
          <cell r="AI12">
            <v>3</v>
          </cell>
          <cell r="AJ12" t="str">
            <v>Incident Command System, CVO/Tanod, BDRRMP                                                        CBFM/ISF</v>
          </cell>
          <cell r="AK12">
            <v>3</v>
          </cell>
          <cell r="AM12" t="str">
            <v>Funds and Relief Goods for Disaster affected area Trained Emergency Response Team</v>
          </cell>
          <cell r="AN12">
            <v>3</v>
          </cell>
          <cell r="AO12">
            <v>2.75</v>
          </cell>
          <cell r="AQ12">
            <v>1.2727272727272727</v>
          </cell>
          <cell r="AR12" t="str">
            <v>MEDIUM LOW</v>
          </cell>
          <cell r="AS12">
            <v>1</v>
          </cell>
        </row>
        <row r="13">
          <cell r="F13" t="str">
            <v>Bit-os</v>
          </cell>
          <cell r="G13">
            <v>4429.4533000000001</v>
          </cell>
          <cell r="H13">
            <v>3106</v>
          </cell>
          <cell r="I13">
            <v>217.42000000000002</v>
          </cell>
          <cell r="J13">
            <v>7.0000000000000009</v>
          </cell>
          <cell r="M13">
            <v>3166</v>
          </cell>
          <cell r="N13">
            <v>2220.047336315748</v>
          </cell>
          <cell r="O13">
            <v>633.20000000000005</v>
          </cell>
          <cell r="P13">
            <v>1487.33</v>
          </cell>
          <cell r="Q13" t="str">
            <v>203.1218 ISF</v>
          </cell>
          <cell r="R13">
            <v>4</v>
          </cell>
          <cell r="T13">
            <v>7.0000000000000009</v>
          </cell>
          <cell r="U13">
            <v>2</v>
          </cell>
          <cell r="V13">
            <v>70.12152041426873</v>
          </cell>
          <cell r="W13">
            <v>5</v>
          </cell>
          <cell r="X13">
            <v>70.12152041426873</v>
          </cell>
          <cell r="Y13">
            <v>5</v>
          </cell>
          <cell r="Z13">
            <v>5</v>
          </cell>
          <cell r="AB13">
            <v>4.5</v>
          </cell>
          <cell r="AC13" t="str">
            <v>HIGH</v>
          </cell>
          <cell r="AD13" t="str">
            <v>DRRM Funds</v>
          </cell>
          <cell r="AE13">
            <v>2</v>
          </cell>
          <cell r="AF13" t="str">
            <v>IEC on Environmental Awareness, Early Warning Stations (Flooding), IEC on Disaster Preparedness</v>
          </cell>
          <cell r="AG13">
            <v>3</v>
          </cell>
          <cell r="AH13" t="str">
            <v>Tree growing, Early Warning Systems</v>
          </cell>
          <cell r="AI13">
            <v>3</v>
          </cell>
          <cell r="AJ13" t="str">
            <v>Incident Command System, CVO/Tanod, BDRRMP                                                        CBFM/ISF</v>
          </cell>
          <cell r="AK13">
            <v>3</v>
          </cell>
          <cell r="AM13" t="str">
            <v>Funds and Relief Goods for Disaster affected area Trained Emergency Response Team</v>
          </cell>
          <cell r="AN13">
            <v>3</v>
          </cell>
          <cell r="AO13">
            <v>2.75</v>
          </cell>
          <cell r="AQ13">
            <v>1.6363636363636365</v>
          </cell>
          <cell r="AR13" t="str">
            <v>MEDIUM LOW</v>
          </cell>
          <cell r="AS13">
            <v>1</v>
          </cell>
        </row>
        <row r="14">
          <cell r="F14" t="str">
            <v>Bobon</v>
          </cell>
          <cell r="G14">
            <v>509.03339999999901</v>
          </cell>
          <cell r="H14">
            <v>842</v>
          </cell>
          <cell r="I14">
            <v>842</v>
          </cell>
          <cell r="J14">
            <v>100</v>
          </cell>
          <cell r="M14">
            <v>1689</v>
          </cell>
          <cell r="N14">
            <v>1689</v>
          </cell>
          <cell r="O14">
            <v>337.8</v>
          </cell>
          <cell r="P14">
            <v>2.78</v>
          </cell>
          <cell r="R14">
            <v>4</v>
          </cell>
          <cell r="T14">
            <v>100</v>
          </cell>
          <cell r="U14">
            <v>5</v>
          </cell>
          <cell r="V14">
            <v>100</v>
          </cell>
          <cell r="W14">
            <v>5</v>
          </cell>
          <cell r="X14">
            <v>100</v>
          </cell>
          <cell r="Y14">
            <v>5</v>
          </cell>
          <cell r="Z14">
            <v>5</v>
          </cell>
          <cell r="AB14">
            <v>4.5</v>
          </cell>
          <cell r="AC14" t="str">
            <v>HIGH</v>
          </cell>
          <cell r="AD14" t="str">
            <v>DRRM Funds</v>
          </cell>
          <cell r="AE14">
            <v>2</v>
          </cell>
          <cell r="AF14" t="str">
            <v>IEC on Environmental Awareness, Early Warning Stations (Flooding), IEC on Disaster Preparedness</v>
          </cell>
          <cell r="AG14">
            <v>3</v>
          </cell>
          <cell r="AH14" t="str">
            <v>Early Warning Systems</v>
          </cell>
          <cell r="AI14">
            <v>3</v>
          </cell>
          <cell r="AJ14" t="str">
            <v>Incident Command System, CVO/Tanod, BDRRMP                                                        CBFM/ISF</v>
          </cell>
          <cell r="AK14">
            <v>3</v>
          </cell>
          <cell r="AM14" t="str">
            <v>Funds and Relief Goods for Disaster affected area Trained Emergency Response Team</v>
          </cell>
          <cell r="AN14">
            <v>3</v>
          </cell>
          <cell r="AO14">
            <v>2.75</v>
          </cell>
          <cell r="AQ14">
            <v>1.6363636363636365</v>
          </cell>
          <cell r="AR14" t="str">
            <v>MEDIUM LOW</v>
          </cell>
          <cell r="AS14">
            <v>4</v>
          </cell>
        </row>
        <row r="15">
          <cell r="F15" t="str">
            <v>Bonbon</v>
          </cell>
          <cell r="G15">
            <v>1142.3862999999899</v>
          </cell>
          <cell r="H15">
            <v>355.52</v>
          </cell>
          <cell r="I15">
            <v>24.3</v>
          </cell>
          <cell r="J15">
            <v>6.8350585058505855</v>
          </cell>
          <cell r="M15">
            <v>5446</v>
          </cell>
          <cell r="N15">
            <v>257.42955775992988</v>
          </cell>
          <cell r="O15">
            <v>1089.2</v>
          </cell>
          <cell r="P15">
            <v>36.130000000000003</v>
          </cell>
          <cell r="R15">
            <v>4</v>
          </cell>
          <cell r="T15">
            <v>6.8350585058505855</v>
          </cell>
          <cell r="U15">
            <v>4</v>
          </cell>
          <cell r="V15">
            <v>4.7269474432598209</v>
          </cell>
          <cell r="W15">
            <v>2</v>
          </cell>
          <cell r="X15">
            <v>4.7269474432598209</v>
          </cell>
          <cell r="Y15">
            <v>2</v>
          </cell>
          <cell r="Z15">
            <v>2</v>
          </cell>
          <cell r="AB15">
            <v>3</v>
          </cell>
          <cell r="AC15" t="str">
            <v>MEDIUM</v>
          </cell>
          <cell r="AD15" t="str">
            <v>DRRM Funds</v>
          </cell>
          <cell r="AE15">
            <v>2</v>
          </cell>
          <cell r="AF15" t="str">
            <v>IEC on Environmental Awareness, Early Warning Stations (Flooding), IEC on Disaster Preparedness</v>
          </cell>
          <cell r="AG15">
            <v>3</v>
          </cell>
          <cell r="AH15" t="str">
            <v>Tree growing, Early Warning Systems</v>
          </cell>
          <cell r="AI15">
            <v>3</v>
          </cell>
          <cell r="AJ15" t="str">
            <v>Incident Command System, CVO/Tanod, BDRRMP                                                        CBFM/ISF</v>
          </cell>
          <cell r="AK15">
            <v>3</v>
          </cell>
          <cell r="AM15" t="str">
            <v>Funds and Relief Goods for Disaster affected area Trained Emergency Response Team</v>
          </cell>
          <cell r="AN15">
            <v>3</v>
          </cell>
          <cell r="AO15">
            <v>2.75</v>
          </cell>
          <cell r="AQ15">
            <v>1.0909090909090908</v>
          </cell>
          <cell r="AR15" t="str">
            <v>MEDIUM LOW</v>
          </cell>
          <cell r="AS15">
            <v>2</v>
          </cell>
        </row>
        <row r="16">
          <cell r="F16" t="str">
            <v>Bugsukan</v>
          </cell>
          <cell r="G16">
            <v>1376.5487000000001</v>
          </cell>
          <cell r="H16">
            <v>393</v>
          </cell>
          <cell r="I16">
            <v>11.79</v>
          </cell>
          <cell r="J16">
            <v>3</v>
          </cell>
          <cell r="K16" t="str">
            <v>2 Flora, 8 Fauna</v>
          </cell>
          <cell r="M16">
            <v>1570</v>
          </cell>
          <cell r="N16">
            <v>448.22969212785563</v>
          </cell>
          <cell r="O16">
            <v>314</v>
          </cell>
          <cell r="R16">
            <v>2</v>
          </cell>
          <cell r="T16">
            <v>3</v>
          </cell>
          <cell r="U16">
            <v>1</v>
          </cell>
          <cell r="V16">
            <v>28.549661918971697</v>
          </cell>
          <cell r="W16">
            <v>3</v>
          </cell>
          <cell r="X16">
            <v>28.549661918971697</v>
          </cell>
          <cell r="Y16">
            <v>3</v>
          </cell>
          <cell r="Z16">
            <v>3</v>
          </cell>
          <cell r="AB16">
            <v>2.5</v>
          </cell>
          <cell r="AC16" t="str">
            <v>MEDIUM</v>
          </cell>
          <cell r="AD16" t="str">
            <v>DRRM Funds</v>
          </cell>
          <cell r="AE16">
            <v>2</v>
          </cell>
          <cell r="AF16" t="str">
            <v>IEC on Environmental Awareness, Early Warning Stations (Flooding), IEC on Disaster Preparedness</v>
          </cell>
          <cell r="AG16">
            <v>3</v>
          </cell>
          <cell r="AH16" t="str">
            <v>Tree growing, Early Warning Systems</v>
          </cell>
          <cell r="AI16">
            <v>3</v>
          </cell>
          <cell r="AJ16" t="str">
            <v>Incident Command System, CVO/Tanod, BDRRMP                                                        CBFM/ISF</v>
          </cell>
          <cell r="AK16">
            <v>3</v>
          </cell>
          <cell r="AM16" t="str">
            <v>Funds and Relief Goods for Disaster affected area Trained Emergency Response Team</v>
          </cell>
          <cell r="AN16">
            <v>3</v>
          </cell>
          <cell r="AO16">
            <v>2.75</v>
          </cell>
          <cell r="AQ16">
            <v>0.90909090909090906</v>
          </cell>
          <cell r="AR16" t="str">
            <v>LOW</v>
          </cell>
          <cell r="AS16">
            <v>1</v>
          </cell>
        </row>
        <row r="17">
          <cell r="F17" t="str">
            <v>Camayahan</v>
          </cell>
          <cell r="G17">
            <v>2464.6527000000001</v>
          </cell>
          <cell r="H17">
            <v>1351</v>
          </cell>
          <cell r="I17">
            <v>67.55</v>
          </cell>
          <cell r="J17">
            <v>5</v>
          </cell>
          <cell r="K17" t="str">
            <v>3 Flora, 10 Fauna</v>
          </cell>
          <cell r="M17">
            <v>1258</v>
          </cell>
          <cell r="N17">
            <v>689.57301773186941</v>
          </cell>
          <cell r="O17">
            <v>251.6</v>
          </cell>
          <cell r="R17">
            <v>3</v>
          </cell>
          <cell r="T17">
            <v>5</v>
          </cell>
          <cell r="U17">
            <v>1</v>
          </cell>
          <cell r="V17">
            <v>54.815025256905358</v>
          </cell>
          <cell r="W17">
            <v>5</v>
          </cell>
          <cell r="X17">
            <v>54.815025256905358</v>
          </cell>
          <cell r="Y17">
            <v>5</v>
          </cell>
          <cell r="Z17">
            <v>5</v>
          </cell>
          <cell r="AB17">
            <v>4</v>
          </cell>
          <cell r="AC17" t="str">
            <v>MEDIUM HIGH</v>
          </cell>
          <cell r="AD17" t="str">
            <v>DRRM Funds</v>
          </cell>
          <cell r="AE17">
            <v>2</v>
          </cell>
          <cell r="AF17" t="str">
            <v>IEC on Environmental Awareness, Early Warning Stations (Flooding), IEC on Disaster Preparedness</v>
          </cell>
          <cell r="AG17">
            <v>3</v>
          </cell>
          <cell r="AH17" t="str">
            <v>Tree growing, Early Warning Systems</v>
          </cell>
          <cell r="AI17">
            <v>3</v>
          </cell>
          <cell r="AJ17" t="str">
            <v>Incident Command System, CVO/Tanod, BDRRMP                                                        CBFM/ISF</v>
          </cell>
          <cell r="AK17">
            <v>3</v>
          </cell>
          <cell r="AM17" t="str">
            <v>Funds and Relief Goods for Disaster affected area Trained Emergency Response Team</v>
          </cell>
          <cell r="AN17">
            <v>3</v>
          </cell>
          <cell r="AO17">
            <v>2.75</v>
          </cell>
          <cell r="AQ17">
            <v>1.4545454545454546</v>
          </cell>
          <cell r="AR17" t="str">
            <v>MEDIUM LOW</v>
          </cell>
          <cell r="AS17">
            <v>1</v>
          </cell>
        </row>
        <row r="18">
          <cell r="F18" t="str">
            <v>De Oro</v>
          </cell>
          <cell r="G18">
            <v>767.64530000000002</v>
          </cell>
          <cell r="H18">
            <v>800</v>
          </cell>
          <cell r="I18">
            <v>64</v>
          </cell>
          <cell r="J18">
            <v>8</v>
          </cell>
          <cell r="K18" t="str">
            <v>16 Flora, 6 Fauna</v>
          </cell>
          <cell r="M18">
            <v>1968</v>
          </cell>
          <cell r="N18">
            <v>1968</v>
          </cell>
          <cell r="O18">
            <v>393.6</v>
          </cell>
          <cell r="R18">
            <v>3</v>
          </cell>
          <cell r="T18">
            <v>8</v>
          </cell>
          <cell r="U18">
            <v>2</v>
          </cell>
          <cell r="V18">
            <v>100</v>
          </cell>
          <cell r="W18">
            <v>5</v>
          </cell>
          <cell r="X18">
            <v>100</v>
          </cell>
          <cell r="Y18">
            <v>5</v>
          </cell>
          <cell r="Z18">
            <v>5</v>
          </cell>
          <cell r="AB18">
            <v>4</v>
          </cell>
          <cell r="AC18" t="str">
            <v>MEDIUM HIGH</v>
          </cell>
          <cell r="AD18" t="str">
            <v>DRRM Funds</v>
          </cell>
          <cell r="AE18">
            <v>2</v>
          </cell>
          <cell r="AF18" t="str">
            <v>IEC on Environmental Awareness, Early Warning Stations (Flooding), IEC on Disaster Preparedness</v>
          </cell>
          <cell r="AG18">
            <v>3</v>
          </cell>
          <cell r="AH18" t="str">
            <v>Early Warning Systems</v>
          </cell>
          <cell r="AI18">
            <v>3</v>
          </cell>
          <cell r="AJ18" t="str">
            <v>Incident Command System, CVO/Tanod, BDRRMP                                                        CBFM/ISF</v>
          </cell>
          <cell r="AK18">
            <v>3</v>
          </cell>
          <cell r="AM18" t="str">
            <v>Funds and Relief Goods for Disaster affected area Trained Emergency Response Team</v>
          </cell>
          <cell r="AN18">
            <v>3</v>
          </cell>
          <cell r="AO18">
            <v>2.75</v>
          </cell>
          <cell r="AQ18">
            <v>1.4545454545454546</v>
          </cell>
          <cell r="AR18" t="str">
            <v>MEDIUM LOW</v>
          </cell>
          <cell r="AS18">
            <v>1</v>
          </cell>
        </row>
        <row r="19">
          <cell r="F19" t="str">
            <v>Don Francisco</v>
          </cell>
          <cell r="G19">
            <v>715.08</v>
          </cell>
          <cell r="H19">
            <v>653</v>
          </cell>
          <cell r="I19">
            <v>32.65</v>
          </cell>
          <cell r="J19">
            <v>5</v>
          </cell>
          <cell r="K19" t="str">
            <v>1 Flora, 5 Fauna</v>
          </cell>
          <cell r="M19">
            <v>1183</v>
          </cell>
          <cell r="N19">
            <v>1080.2973093919561</v>
          </cell>
          <cell r="O19">
            <v>236.6</v>
          </cell>
          <cell r="Q19" t="str">
            <v>88.75 ISF</v>
          </cell>
          <cell r="R19">
            <v>3</v>
          </cell>
          <cell r="T19">
            <v>5</v>
          </cell>
          <cell r="U19">
            <v>1</v>
          </cell>
          <cell r="V19">
            <v>91.318453879286238</v>
          </cell>
          <cell r="W19">
            <v>5</v>
          </cell>
          <cell r="X19">
            <v>91.318453879286238</v>
          </cell>
          <cell r="Y19">
            <v>5</v>
          </cell>
          <cell r="Z19">
            <v>5</v>
          </cell>
          <cell r="AB19">
            <v>4</v>
          </cell>
          <cell r="AC19" t="str">
            <v>MEDIUM HIGH</v>
          </cell>
          <cell r="AD19" t="str">
            <v>DRRM Funds</v>
          </cell>
          <cell r="AE19">
            <v>2</v>
          </cell>
          <cell r="AF19" t="str">
            <v>IEC on Environmental Awareness, Early Warning Stations (Flooding), IEC on Disaster Preparedness</v>
          </cell>
          <cell r="AG19">
            <v>3</v>
          </cell>
          <cell r="AH19" t="str">
            <v>Tree growing</v>
          </cell>
          <cell r="AI19">
            <v>3</v>
          </cell>
          <cell r="AJ19" t="str">
            <v>Incident Command System, CVO/Tanod, BDRRMP                                                        CBFM/ISF</v>
          </cell>
          <cell r="AK19">
            <v>3</v>
          </cell>
          <cell r="AM19" t="str">
            <v>Funds and Relief Goods for Disaster affected area Trained Emergency Response Team</v>
          </cell>
          <cell r="AN19">
            <v>3</v>
          </cell>
          <cell r="AO19">
            <v>2.75</v>
          </cell>
          <cell r="AQ19">
            <v>1.4545454545454546</v>
          </cell>
          <cell r="AR19" t="str">
            <v>MEDIUM LOW</v>
          </cell>
          <cell r="AS19">
            <v>1</v>
          </cell>
        </row>
        <row r="20">
          <cell r="F20" t="str">
            <v>Dumalagan</v>
          </cell>
          <cell r="G20">
            <v>1003.1803</v>
          </cell>
          <cell r="H20">
            <v>251</v>
          </cell>
          <cell r="I20">
            <v>42.67</v>
          </cell>
          <cell r="J20">
            <v>17</v>
          </cell>
          <cell r="M20">
            <v>2580</v>
          </cell>
          <cell r="N20">
            <v>645.52703038526579</v>
          </cell>
          <cell r="O20">
            <v>516</v>
          </cell>
          <cell r="P20">
            <v>14.19</v>
          </cell>
          <cell r="R20">
            <v>3</v>
          </cell>
          <cell r="T20">
            <v>17</v>
          </cell>
          <cell r="U20">
            <v>3</v>
          </cell>
          <cell r="V20">
            <v>25.020427534312628</v>
          </cell>
          <cell r="W20">
            <v>3</v>
          </cell>
          <cell r="X20">
            <v>25.020427534312628</v>
          </cell>
          <cell r="Y20">
            <v>3</v>
          </cell>
          <cell r="Z20">
            <v>3</v>
          </cell>
          <cell r="AB20">
            <v>3</v>
          </cell>
          <cell r="AC20" t="str">
            <v>MEDIUM</v>
          </cell>
          <cell r="AD20" t="str">
            <v>DRRM Funds</v>
          </cell>
          <cell r="AE20">
            <v>2</v>
          </cell>
          <cell r="AF20" t="str">
            <v>IEC on Environmental Awareness, Early Warning Stations (Flooding), IEC on Disaster Preparedness</v>
          </cell>
          <cell r="AG20">
            <v>3</v>
          </cell>
          <cell r="AH20" t="str">
            <v>Early Warning Systems</v>
          </cell>
          <cell r="AI20">
            <v>3</v>
          </cell>
          <cell r="AJ20" t="str">
            <v>Incident Command System, CVO/Tanod, BDRRMP                                                        CBFM/ISF</v>
          </cell>
          <cell r="AK20">
            <v>3</v>
          </cell>
          <cell r="AM20" t="str">
            <v>Funds and Relief Goods for Disaster affected area Trained Emergency Response Team</v>
          </cell>
          <cell r="AN20">
            <v>3</v>
          </cell>
          <cell r="AO20">
            <v>2.75</v>
          </cell>
          <cell r="AQ20">
            <v>1.0909090909090908</v>
          </cell>
          <cell r="AR20" t="str">
            <v>MEDIUM LOW</v>
          </cell>
          <cell r="AS20">
            <v>1</v>
          </cell>
        </row>
        <row r="21">
          <cell r="F21" t="str">
            <v>Florida</v>
          </cell>
          <cell r="G21">
            <v>5326.1517999999896</v>
          </cell>
          <cell r="H21">
            <v>4306</v>
          </cell>
          <cell r="I21">
            <v>947.32</v>
          </cell>
          <cell r="J21">
            <v>22</v>
          </cell>
          <cell r="K21" t="str">
            <v>2 Flora, 4 Fauna</v>
          </cell>
          <cell r="M21">
            <v>2507</v>
          </cell>
          <cell r="N21">
            <v>2026.8183118626137</v>
          </cell>
          <cell r="O21">
            <v>501.4</v>
          </cell>
          <cell r="R21">
            <v>3</v>
          </cell>
          <cell r="T21">
            <v>22</v>
          </cell>
          <cell r="U21">
            <v>3</v>
          </cell>
          <cell r="V21">
            <v>80.846362659059182</v>
          </cell>
          <cell r="W21">
            <v>5</v>
          </cell>
          <cell r="X21">
            <v>80.846362659059182</v>
          </cell>
          <cell r="Y21">
            <v>5</v>
          </cell>
          <cell r="Z21">
            <v>5</v>
          </cell>
          <cell r="AB21">
            <v>4</v>
          </cell>
          <cell r="AC21" t="str">
            <v>MEDIUM HIGH</v>
          </cell>
          <cell r="AD21" t="str">
            <v>DRRM Funds</v>
          </cell>
          <cell r="AE21">
            <v>2</v>
          </cell>
          <cell r="AF21" t="str">
            <v>IEC on Environmental Awareness, Early Warning Stations (Flooding), IEC on Disaster Preparedness</v>
          </cell>
          <cell r="AG21">
            <v>3</v>
          </cell>
          <cell r="AH21" t="str">
            <v>Tree growing, Early Warning Systems</v>
          </cell>
          <cell r="AI21">
            <v>3</v>
          </cell>
          <cell r="AJ21" t="str">
            <v>Incident Command System, CVO/Tanod, BDRRMP                                                        CBFM/ISF</v>
          </cell>
          <cell r="AK21">
            <v>3</v>
          </cell>
          <cell r="AM21" t="str">
            <v>Funds and Relief Goods for Disaster affected area Trained Emergency Response Team</v>
          </cell>
          <cell r="AN21">
            <v>3</v>
          </cell>
          <cell r="AO21">
            <v>2.75</v>
          </cell>
          <cell r="AQ21">
            <v>1.4545454545454546</v>
          </cell>
          <cell r="AR21" t="str">
            <v>MEDIUM LOW</v>
          </cell>
          <cell r="AS21">
            <v>1</v>
          </cell>
        </row>
        <row r="22">
          <cell r="F22" t="str">
            <v>Kinamlutan</v>
          </cell>
          <cell r="G22">
            <v>755.43579999999895</v>
          </cell>
          <cell r="H22">
            <v>249</v>
          </cell>
          <cell r="I22">
            <v>199.20000000000002</v>
          </cell>
          <cell r="J22">
            <v>80</v>
          </cell>
          <cell r="M22">
            <v>3097</v>
          </cell>
          <cell r="N22">
            <v>1020.8054741382406</v>
          </cell>
          <cell r="O22">
            <v>619.4</v>
          </cell>
          <cell r="Q22" t="str">
            <v>370.50 CBFM &amp; 295.54 ISF</v>
          </cell>
          <cell r="R22">
            <v>3</v>
          </cell>
          <cell r="T22">
            <v>80</v>
          </cell>
          <cell r="U22">
            <v>5</v>
          </cell>
          <cell r="V22">
            <v>32.961106688351329</v>
          </cell>
          <cell r="W22">
            <v>4</v>
          </cell>
          <cell r="X22">
            <v>32.961106688351329</v>
          </cell>
          <cell r="Y22">
            <v>4</v>
          </cell>
          <cell r="Z22">
            <v>4</v>
          </cell>
          <cell r="AB22">
            <v>3.5</v>
          </cell>
          <cell r="AC22" t="str">
            <v>MEDIUM HIGH</v>
          </cell>
          <cell r="AD22" t="str">
            <v>DRRM Funds</v>
          </cell>
          <cell r="AE22">
            <v>2</v>
          </cell>
          <cell r="AF22" t="str">
            <v>IEC on Environmental Awareness, Early Warning Stations (Flooding), IEC on Disaster Preparedness</v>
          </cell>
          <cell r="AG22">
            <v>3</v>
          </cell>
          <cell r="AH22" t="str">
            <v>Tree growing, Early Warning Systems</v>
          </cell>
          <cell r="AI22">
            <v>3</v>
          </cell>
          <cell r="AJ22" t="str">
            <v>Incident Command System, CVO/Tanod, BDRRMP                                                        CBFM/ISF</v>
          </cell>
          <cell r="AK22">
            <v>3</v>
          </cell>
          <cell r="AM22" t="str">
            <v>Funds and Relief Goods for Disaster affected area Trained Emergency Response Team</v>
          </cell>
          <cell r="AN22">
            <v>3</v>
          </cell>
          <cell r="AO22">
            <v>2.75</v>
          </cell>
          <cell r="AQ22">
            <v>1.2727272727272727</v>
          </cell>
          <cell r="AR22" t="str">
            <v>MEDIUM LOW</v>
          </cell>
          <cell r="AS22">
            <v>4</v>
          </cell>
        </row>
        <row r="23">
          <cell r="F23" t="str">
            <v>Libertad</v>
          </cell>
          <cell r="G23">
            <v>1226.9382000000001</v>
          </cell>
          <cell r="H23">
            <v>429</v>
          </cell>
          <cell r="I23">
            <v>420.42</v>
          </cell>
          <cell r="J23">
            <v>98</v>
          </cell>
          <cell r="M23">
            <v>21703</v>
          </cell>
          <cell r="N23">
            <v>7588.4726712396759</v>
          </cell>
          <cell r="O23">
            <v>4340.6000000000004</v>
          </cell>
          <cell r="P23">
            <v>138.56</v>
          </cell>
          <cell r="Q23" t="str">
            <v>64.6100 ISF</v>
          </cell>
          <cell r="R23">
            <v>3</v>
          </cell>
          <cell r="T23">
            <v>98</v>
          </cell>
          <cell r="U23">
            <v>5</v>
          </cell>
          <cell r="V23">
            <v>34.965086261068407</v>
          </cell>
          <cell r="W23">
            <v>4</v>
          </cell>
          <cell r="X23">
            <v>34.965086261068407</v>
          </cell>
          <cell r="Y23">
            <v>4</v>
          </cell>
          <cell r="Z23">
            <v>4</v>
          </cell>
          <cell r="AB23">
            <v>3.5</v>
          </cell>
          <cell r="AC23" t="str">
            <v>MEDIUM HIGH</v>
          </cell>
          <cell r="AD23" t="str">
            <v>DRRM Funds</v>
          </cell>
          <cell r="AE23">
            <v>2</v>
          </cell>
          <cell r="AF23" t="str">
            <v>IEC on Environmental Awareness, Early Warning Stations (Flooding), IEC on Disaster Preparedness</v>
          </cell>
          <cell r="AG23">
            <v>3</v>
          </cell>
          <cell r="AH23" t="str">
            <v>Tree growing, Early Warning Systems</v>
          </cell>
          <cell r="AI23">
            <v>3</v>
          </cell>
          <cell r="AJ23" t="str">
            <v>Incident Command System, CVO/Tanod, BDRRMP                                                        CBFM/ISF</v>
          </cell>
          <cell r="AK23">
            <v>3</v>
          </cell>
          <cell r="AM23" t="str">
            <v>Funds and Relief Goods for Disaster affected area Trained Emergency Response Team</v>
          </cell>
          <cell r="AN23">
            <v>3</v>
          </cell>
          <cell r="AO23">
            <v>2.75</v>
          </cell>
          <cell r="AQ23">
            <v>1.2727272727272727</v>
          </cell>
          <cell r="AR23" t="str">
            <v>MEDIUM LOW</v>
          </cell>
          <cell r="AS23">
            <v>4</v>
          </cell>
        </row>
        <row r="24">
          <cell r="F24" t="str">
            <v>Los Angeles</v>
          </cell>
          <cell r="G24">
            <v>1151.4235000000001</v>
          </cell>
          <cell r="H24">
            <v>1063</v>
          </cell>
          <cell r="I24">
            <v>797.25</v>
          </cell>
          <cell r="J24">
            <v>75</v>
          </cell>
          <cell r="K24" t="str">
            <v>16 Flora, 5 Fauna</v>
          </cell>
          <cell r="M24">
            <v>5234</v>
          </cell>
          <cell r="N24">
            <v>4832.0552776628228</v>
          </cell>
          <cell r="O24">
            <v>1046.8</v>
          </cell>
          <cell r="P24">
            <v>308.77999999999997</v>
          </cell>
          <cell r="R24">
            <v>3</v>
          </cell>
          <cell r="T24">
            <v>75</v>
          </cell>
          <cell r="U24">
            <v>5</v>
          </cell>
          <cell r="V24">
            <v>92.320505878158627</v>
          </cell>
          <cell r="W24">
            <v>5</v>
          </cell>
          <cell r="X24">
            <v>92.320505878158627</v>
          </cell>
          <cell r="Y24">
            <v>5</v>
          </cell>
          <cell r="Z24">
            <v>5</v>
          </cell>
          <cell r="AB24">
            <v>4</v>
          </cell>
          <cell r="AC24" t="str">
            <v>MEDIUM HIGH</v>
          </cell>
          <cell r="AD24" t="str">
            <v>DRRM Funds</v>
          </cell>
          <cell r="AE24">
            <v>2</v>
          </cell>
          <cell r="AF24" t="str">
            <v>IEC on Environmental Awareness, Early Warning Stations (Flooding), IEC on Disaster Preparedness</v>
          </cell>
          <cell r="AG24">
            <v>3</v>
          </cell>
          <cell r="AH24" t="str">
            <v>Tree growing, Early Warning Systems</v>
          </cell>
          <cell r="AI24">
            <v>3</v>
          </cell>
          <cell r="AJ24" t="str">
            <v>Incident Command System, CVO/Tanod, BDRRMP                                                        CBFM/ISF</v>
          </cell>
          <cell r="AK24">
            <v>3</v>
          </cell>
          <cell r="AM24" t="str">
            <v>Funds and Relief Goods for Disaster affected area Trained Emergency Response Team</v>
          </cell>
          <cell r="AN24">
            <v>3</v>
          </cell>
          <cell r="AO24">
            <v>2.75</v>
          </cell>
          <cell r="AQ24">
            <v>1.4545454545454546</v>
          </cell>
          <cell r="AR24" t="str">
            <v>MEDIUM LOW</v>
          </cell>
          <cell r="AS24">
            <v>4</v>
          </cell>
        </row>
        <row r="25">
          <cell r="F25" t="str">
            <v>Lumbocan</v>
          </cell>
          <cell r="G25">
            <v>497.01400000000001</v>
          </cell>
          <cell r="H25">
            <v>465</v>
          </cell>
          <cell r="I25">
            <v>465</v>
          </cell>
          <cell r="J25">
            <v>100</v>
          </cell>
          <cell r="M25">
            <v>4462</v>
          </cell>
          <cell r="N25">
            <v>4174.5906553940131</v>
          </cell>
          <cell r="O25">
            <v>892.4</v>
          </cell>
          <cell r="Q25" t="str">
            <v>26.81 ISF</v>
          </cell>
          <cell r="R25">
            <v>5</v>
          </cell>
          <cell r="T25">
            <v>100</v>
          </cell>
          <cell r="U25">
            <v>5</v>
          </cell>
          <cell r="V25">
            <v>93.55873275199491</v>
          </cell>
          <cell r="W25">
            <v>5</v>
          </cell>
          <cell r="X25">
            <v>93.55873275199491</v>
          </cell>
          <cell r="Y25">
            <v>5</v>
          </cell>
          <cell r="Z25">
            <v>5</v>
          </cell>
          <cell r="AB25">
            <v>5</v>
          </cell>
          <cell r="AC25" t="str">
            <v>HIGH</v>
          </cell>
          <cell r="AD25" t="str">
            <v>DRRM Funds</v>
          </cell>
          <cell r="AE25">
            <v>2</v>
          </cell>
          <cell r="AF25" t="str">
            <v>IEC on Environmental Awareness, Early Warning Stations (Flooding), IEC on Disaster Preparedness</v>
          </cell>
          <cell r="AG25">
            <v>3</v>
          </cell>
          <cell r="AH25" t="str">
            <v>Mangrove rehabilitation and coastal clean-up, Early Warning Systems</v>
          </cell>
          <cell r="AI25">
            <v>3</v>
          </cell>
          <cell r="AJ25" t="str">
            <v>Incident Command System, CVO/Tanod, BDRRMP                                                        CBFM/ISF</v>
          </cell>
          <cell r="AK25">
            <v>3</v>
          </cell>
          <cell r="AM25" t="str">
            <v>Funds and Relief Goods for Disaster affected area Trained Emergency Response Team</v>
          </cell>
          <cell r="AN25">
            <v>3</v>
          </cell>
          <cell r="AO25">
            <v>2.75</v>
          </cell>
          <cell r="AQ25">
            <v>1.8181818181818181</v>
          </cell>
          <cell r="AR25" t="str">
            <v>MEDIUM LOW</v>
          </cell>
          <cell r="AS25">
            <v>4</v>
          </cell>
        </row>
        <row r="26">
          <cell r="F26" t="str">
            <v>Maguinda</v>
          </cell>
          <cell r="G26">
            <v>1680.8103000000001</v>
          </cell>
          <cell r="H26">
            <v>623</v>
          </cell>
          <cell r="I26">
            <v>218.04999999999998</v>
          </cell>
          <cell r="J26">
            <v>35</v>
          </cell>
          <cell r="K26" t="str">
            <v>2 Flora, 5 Fauna</v>
          </cell>
          <cell r="M26">
            <v>3600</v>
          </cell>
          <cell r="N26">
            <v>1334.3564113094737</v>
          </cell>
          <cell r="O26">
            <v>720</v>
          </cell>
          <cell r="R26">
            <v>2</v>
          </cell>
          <cell r="T26">
            <v>35</v>
          </cell>
          <cell r="U26">
            <v>4</v>
          </cell>
          <cell r="V26">
            <v>37.065455869707606</v>
          </cell>
          <cell r="W26">
            <v>4</v>
          </cell>
          <cell r="X26">
            <v>37.065455869707606</v>
          </cell>
          <cell r="Y26">
            <v>4</v>
          </cell>
          <cell r="Z26">
            <v>4</v>
          </cell>
          <cell r="AB26">
            <v>3</v>
          </cell>
          <cell r="AC26" t="str">
            <v>MEDIUM</v>
          </cell>
          <cell r="AD26" t="str">
            <v>DRRM Funds</v>
          </cell>
          <cell r="AE26">
            <v>2</v>
          </cell>
          <cell r="AF26" t="str">
            <v>IEC on Environmental Awareness, Early Warning Stations (Flooding), IEC on Disaster Preparedness</v>
          </cell>
          <cell r="AG26">
            <v>3</v>
          </cell>
          <cell r="AH26" t="str">
            <v>Early Warning Systems</v>
          </cell>
          <cell r="AI26">
            <v>3</v>
          </cell>
          <cell r="AJ26" t="str">
            <v>Incident Command System, CVO/Tanod, BDRRMP                                                        CBFM/ISF</v>
          </cell>
          <cell r="AK26">
            <v>3</v>
          </cell>
          <cell r="AM26" t="str">
            <v>Funds and Relief Goods for Disaster affected area Trained Emergency Response Team</v>
          </cell>
          <cell r="AN26">
            <v>3</v>
          </cell>
          <cell r="AO26">
            <v>2.75</v>
          </cell>
          <cell r="AQ26">
            <v>1.0909090909090908</v>
          </cell>
          <cell r="AR26" t="str">
            <v>MEDIUM LOW</v>
          </cell>
          <cell r="AS26">
            <v>2</v>
          </cell>
        </row>
        <row r="27">
          <cell r="F27" t="str">
            <v>Maibu</v>
          </cell>
          <cell r="G27">
            <v>964.16740000000004</v>
          </cell>
          <cell r="H27">
            <v>926</v>
          </cell>
          <cell r="I27">
            <v>64.820000000000007</v>
          </cell>
          <cell r="J27">
            <v>7.0000000000000009</v>
          </cell>
          <cell r="K27" t="str">
            <v>1 Flora, 5 Fauna</v>
          </cell>
          <cell r="M27">
            <v>1492</v>
          </cell>
          <cell r="N27">
            <v>1432.9378902460298</v>
          </cell>
          <cell r="O27">
            <v>298.39999999999998</v>
          </cell>
          <cell r="R27">
            <v>2</v>
          </cell>
          <cell r="T27">
            <v>7.0000000000000009</v>
          </cell>
          <cell r="U27">
            <v>2</v>
          </cell>
          <cell r="V27">
            <v>96.041413555363931</v>
          </cell>
          <cell r="W27">
            <v>5</v>
          </cell>
          <cell r="X27">
            <v>96.041413555363931</v>
          </cell>
          <cell r="Y27">
            <v>5</v>
          </cell>
          <cell r="Z27">
            <v>5</v>
          </cell>
          <cell r="AB27">
            <v>3.5</v>
          </cell>
          <cell r="AC27" t="str">
            <v>MEDIUM HIGH</v>
          </cell>
          <cell r="AD27" t="str">
            <v>DRRM Funds</v>
          </cell>
          <cell r="AE27">
            <v>2</v>
          </cell>
          <cell r="AF27" t="str">
            <v>IEC on Environmental Awareness, Early Warning Stations (Flooding), IEC on Disaster Preparedness</v>
          </cell>
          <cell r="AG27">
            <v>3</v>
          </cell>
          <cell r="AH27" t="str">
            <v>Early Warning Systems</v>
          </cell>
          <cell r="AI27">
            <v>3</v>
          </cell>
          <cell r="AJ27" t="str">
            <v>Incident Command System, CVO/Tanod, BDRRMP                                                        CBFM/ISF</v>
          </cell>
          <cell r="AK27">
            <v>3</v>
          </cell>
          <cell r="AM27" t="str">
            <v>Funds and Relief Goods for Disaster affected area Trained Emergency Response Team</v>
          </cell>
          <cell r="AN27">
            <v>3</v>
          </cell>
          <cell r="AO27">
            <v>2.75</v>
          </cell>
          <cell r="AQ27">
            <v>1.2727272727272727</v>
          </cell>
          <cell r="AR27" t="str">
            <v>MEDIUM LOW</v>
          </cell>
          <cell r="AS27">
            <v>1</v>
          </cell>
        </row>
        <row r="28">
          <cell r="F28" t="str">
            <v>Masao</v>
          </cell>
          <cell r="G28">
            <v>724.54930000000002</v>
          </cell>
          <cell r="H28">
            <v>134</v>
          </cell>
          <cell r="I28">
            <v>134</v>
          </cell>
          <cell r="J28">
            <v>100</v>
          </cell>
          <cell r="M28">
            <v>1786</v>
          </cell>
          <cell r="N28">
            <v>330.30740627311349</v>
          </cell>
          <cell r="O28">
            <v>357.2</v>
          </cell>
          <cell r="R28">
            <v>5</v>
          </cell>
          <cell r="T28">
            <v>100</v>
          </cell>
          <cell r="U28">
            <v>5</v>
          </cell>
          <cell r="V28">
            <v>18.494255670387094</v>
          </cell>
          <cell r="W28">
            <v>3</v>
          </cell>
          <cell r="X28">
            <v>18.494255670387094</v>
          </cell>
          <cell r="Y28">
            <v>3</v>
          </cell>
          <cell r="Z28">
            <v>3</v>
          </cell>
          <cell r="AB28">
            <v>4</v>
          </cell>
          <cell r="AC28" t="str">
            <v>MEDIUM HIGH</v>
          </cell>
          <cell r="AD28" t="str">
            <v>DRRM Funds</v>
          </cell>
          <cell r="AE28">
            <v>2</v>
          </cell>
          <cell r="AF28" t="str">
            <v>IEC on Environmental Awareness, Early Warning Stations (Flooding), IEC on Disaster Preparedness</v>
          </cell>
          <cell r="AG28">
            <v>3</v>
          </cell>
          <cell r="AH28" t="str">
            <v>Mangrove rehabilitation and coastal clean-up, Early Warning Systems</v>
          </cell>
          <cell r="AI28">
            <v>3</v>
          </cell>
          <cell r="AJ28" t="str">
            <v>Incident Command System, CVO/Tanod, BDRRMP                                                        CBFM/ISF</v>
          </cell>
          <cell r="AK28">
            <v>3</v>
          </cell>
          <cell r="AM28" t="str">
            <v>Funds and Relief Goods for Disaster affected area Trained Emergency Response Team</v>
          </cell>
          <cell r="AN28">
            <v>3</v>
          </cell>
          <cell r="AO28">
            <v>2.75</v>
          </cell>
          <cell r="AQ28">
            <v>1.4545454545454546</v>
          </cell>
          <cell r="AR28" t="str">
            <v>MEDIUM LOW</v>
          </cell>
          <cell r="AS28">
            <v>4</v>
          </cell>
        </row>
        <row r="29">
          <cell r="F29" t="str">
            <v>Nongnong</v>
          </cell>
          <cell r="G29">
            <v>2327.0088999999898</v>
          </cell>
          <cell r="H29">
            <v>743</v>
          </cell>
          <cell r="I29">
            <v>29.72</v>
          </cell>
          <cell r="J29">
            <v>4</v>
          </cell>
          <cell r="M29">
            <v>1594</v>
          </cell>
          <cell r="N29">
            <v>508.9546498941217</v>
          </cell>
          <cell r="O29">
            <v>318.8</v>
          </cell>
          <cell r="P29">
            <v>714.42</v>
          </cell>
          <cell r="R29">
            <v>2</v>
          </cell>
          <cell r="T29">
            <v>4</v>
          </cell>
          <cell r="U29">
            <v>1</v>
          </cell>
          <cell r="V29">
            <v>31.929400871651296</v>
          </cell>
          <cell r="W29">
            <v>4</v>
          </cell>
          <cell r="X29">
            <v>31.929400871651296</v>
          </cell>
          <cell r="Y29">
            <v>4</v>
          </cell>
          <cell r="Z29">
            <v>4</v>
          </cell>
          <cell r="AB29">
            <v>3</v>
          </cell>
          <cell r="AC29" t="str">
            <v>MEDIUM</v>
          </cell>
          <cell r="AD29" t="str">
            <v>DRRM Funds</v>
          </cell>
          <cell r="AE29">
            <v>2</v>
          </cell>
          <cell r="AF29" t="str">
            <v>IEC on Environmental Awareness, Early Warning Stations (Flooding), IEC on Disaster Preparedness</v>
          </cell>
          <cell r="AG29">
            <v>3</v>
          </cell>
          <cell r="AH29" t="str">
            <v>Early Warning Systems</v>
          </cell>
          <cell r="AI29">
            <v>3</v>
          </cell>
          <cell r="AJ29" t="str">
            <v>Incident Command System, CVO/Tanod, BDRRMP                                                        CBFM/ISF</v>
          </cell>
          <cell r="AK29">
            <v>3</v>
          </cell>
          <cell r="AM29" t="str">
            <v>Funds and Relief Goods for Disaster affected area Trained Emergency Response Team</v>
          </cell>
          <cell r="AN29">
            <v>3</v>
          </cell>
          <cell r="AO29">
            <v>2.75</v>
          </cell>
          <cell r="AQ29">
            <v>1.0909090909090908</v>
          </cell>
          <cell r="AR29" t="str">
            <v>MEDIUM LOW</v>
          </cell>
          <cell r="AS29">
            <v>1</v>
          </cell>
        </row>
        <row r="30">
          <cell r="F30" t="str">
            <v>Pagatpatan</v>
          </cell>
          <cell r="G30">
            <v>198.99930000000001</v>
          </cell>
          <cell r="H30">
            <v>201</v>
          </cell>
          <cell r="I30">
            <v>201</v>
          </cell>
          <cell r="J30">
            <v>100</v>
          </cell>
          <cell r="K30" t="str">
            <v>0 Flora, 5 Fauna</v>
          </cell>
          <cell r="M30">
            <v>5933</v>
          </cell>
          <cell r="N30">
            <v>5933</v>
          </cell>
          <cell r="O30">
            <v>1186.5999999999999</v>
          </cell>
          <cell r="R30">
            <v>5</v>
          </cell>
          <cell r="T30">
            <v>100</v>
          </cell>
          <cell r="U30">
            <v>5</v>
          </cell>
          <cell r="V30">
            <v>100</v>
          </cell>
          <cell r="W30">
            <v>5</v>
          </cell>
          <cell r="X30">
            <v>100</v>
          </cell>
          <cell r="Y30">
            <v>5</v>
          </cell>
          <cell r="Z30">
            <v>5</v>
          </cell>
          <cell r="AB30">
            <v>5</v>
          </cell>
          <cell r="AC30" t="str">
            <v>HIGH</v>
          </cell>
          <cell r="AD30" t="str">
            <v>DRRM Funds</v>
          </cell>
          <cell r="AE30">
            <v>2</v>
          </cell>
          <cell r="AF30" t="str">
            <v>IEC on Environmental Awareness, Early Warning Stations (Flooding), IEC on Disaster Preparedness</v>
          </cell>
          <cell r="AG30">
            <v>3</v>
          </cell>
          <cell r="AH30" t="str">
            <v>Mangrove rehabilitationand tree growing, Early Warning Systems</v>
          </cell>
          <cell r="AI30">
            <v>3</v>
          </cell>
          <cell r="AJ30" t="str">
            <v>Incident Command System, CVO/Tanod, BDRRMP                                                        CBFM/ISF</v>
          </cell>
          <cell r="AK30">
            <v>3</v>
          </cell>
          <cell r="AM30" t="str">
            <v>Funds and Relief Goods for Disaster affected area Trained Emergency Response Team</v>
          </cell>
          <cell r="AN30">
            <v>3</v>
          </cell>
          <cell r="AO30">
            <v>2.75</v>
          </cell>
          <cell r="AQ30">
            <v>1.8181818181818181</v>
          </cell>
          <cell r="AR30" t="str">
            <v>MEDIUM LOW</v>
          </cell>
          <cell r="AS30">
            <v>4</v>
          </cell>
        </row>
        <row r="31">
          <cell r="F31" t="str">
            <v>Pianing</v>
          </cell>
          <cell r="G31">
            <v>2920.1968999999899</v>
          </cell>
          <cell r="H31">
            <v>2266</v>
          </cell>
          <cell r="I31">
            <v>113.30000000000001</v>
          </cell>
          <cell r="J31">
            <v>5</v>
          </cell>
          <cell r="K31" t="str">
            <v>34 Flora, 31 Fauna</v>
          </cell>
          <cell r="L31">
            <v>1</v>
          </cell>
          <cell r="M31">
            <v>2165</v>
          </cell>
          <cell r="N31">
            <v>1679.9860310789375</v>
          </cell>
          <cell r="O31">
            <v>433</v>
          </cell>
          <cell r="P31">
            <v>319.16000000000003</v>
          </cell>
          <cell r="R31">
            <v>3</v>
          </cell>
          <cell r="T31">
            <v>5</v>
          </cell>
          <cell r="U31">
            <v>1</v>
          </cell>
          <cell r="V31">
            <v>77.597507209188805</v>
          </cell>
          <cell r="W31">
            <v>5</v>
          </cell>
          <cell r="X31">
            <v>77.597507209188805</v>
          </cell>
          <cell r="Y31">
            <v>5</v>
          </cell>
          <cell r="Z31">
            <v>5</v>
          </cell>
          <cell r="AB31">
            <v>4</v>
          </cell>
          <cell r="AC31" t="str">
            <v>MEDIUM HIGH</v>
          </cell>
          <cell r="AD31" t="str">
            <v>DRRM Funds</v>
          </cell>
          <cell r="AE31">
            <v>2</v>
          </cell>
          <cell r="AF31" t="str">
            <v>IEC on Environmental Awareness, Early Warning Stations (Flooding), IEC on Disaster Preparedness</v>
          </cell>
          <cell r="AG31">
            <v>3</v>
          </cell>
          <cell r="AH31" t="str">
            <v>Tree growing and river clean-up, Early Warning Systems</v>
          </cell>
          <cell r="AI31">
            <v>3</v>
          </cell>
          <cell r="AJ31" t="str">
            <v>Incident Command System, CVO/Tanod, BDRRMP                                                        CBFM/ISF</v>
          </cell>
          <cell r="AK31">
            <v>3</v>
          </cell>
          <cell r="AM31" t="str">
            <v>Funds and Relief Goods for Disaster affected area Trained Emergency Response Team</v>
          </cell>
          <cell r="AN31">
            <v>3</v>
          </cell>
          <cell r="AO31">
            <v>2.75</v>
          </cell>
          <cell r="AQ31">
            <v>1.4545454545454546</v>
          </cell>
          <cell r="AR31" t="str">
            <v>MEDIUM LOW</v>
          </cell>
          <cell r="AS31">
            <v>1</v>
          </cell>
        </row>
        <row r="32">
          <cell r="F32" t="str">
            <v>Pigdaulan</v>
          </cell>
          <cell r="G32">
            <v>935.98040000000003</v>
          </cell>
          <cell r="H32">
            <v>544</v>
          </cell>
          <cell r="I32">
            <v>402.56</v>
          </cell>
          <cell r="J32">
            <v>74</v>
          </cell>
          <cell r="K32" t="str">
            <v>0 Flora, 5 Fauna</v>
          </cell>
          <cell r="M32">
            <v>2529</v>
          </cell>
          <cell r="N32">
            <v>1469.8769333203984</v>
          </cell>
          <cell r="O32">
            <v>505.8</v>
          </cell>
          <cell r="R32">
            <v>3</v>
          </cell>
          <cell r="T32">
            <v>74</v>
          </cell>
          <cell r="U32">
            <v>5</v>
          </cell>
          <cell r="V32">
            <v>58.120875180719587</v>
          </cell>
          <cell r="W32">
            <v>5</v>
          </cell>
          <cell r="X32">
            <v>58.120875180719587</v>
          </cell>
          <cell r="Y32">
            <v>5</v>
          </cell>
          <cell r="Z32">
            <v>5</v>
          </cell>
          <cell r="AB32">
            <v>4</v>
          </cell>
          <cell r="AC32" t="str">
            <v>MEDIUM HIGH</v>
          </cell>
          <cell r="AD32" t="str">
            <v>DRRM Funds</v>
          </cell>
          <cell r="AE32">
            <v>2</v>
          </cell>
          <cell r="AF32" t="str">
            <v>IEC on Environmental Awareness, Early Warning Stations (Flooding), IEC on Disaster Preparedness</v>
          </cell>
          <cell r="AG32">
            <v>3</v>
          </cell>
          <cell r="AH32" t="str">
            <v>Tree growing, Early Warning Systems</v>
          </cell>
          <cell r="AI32">
            <v>3</v>
          </cell>
          <cell r="AJ32" t="str">
            <v>Incident Command System, CVO/Tanod, BDRRMP                                                        CBFM/ISF</v>
          </cell>
          <cell r="AK32">
            <v>3</v>
          </cell>
          <cell r="AM32" t="str">
            <v>Funds and Relief Goods for Disaster affected area Trained Emergency Response Team</v>
          </cell>
          <cell r="AN32">
            <v>3</v>
          </cell>
          <cell r="AO32">
            <v>2.75</v>
          </cell>
          <cell r="AQ32">
            <v>1.4545454545454546</v>
          </cell>
          <cell r="AR32" t="str">
            <v>MEDIUM LOW</v>
          </cell>
          <cell r="AS32">
            <v>3</v>
          </cell>
        </row>
        <row r="33">
          <cell r="F33" t="str">
            <v>Pinamanculan</v>
          </cell>
          <cell r="G33">
            <v>1004.1485</v>
          </cell>
          <cell r="H33">
            <v>150</v>
          </cell>
          <cell r="I33">
            <v>97.5</v>
          </cell>
          <cell r="J33">
            <v>65</v>
          </cell>
          <cell r="M33">
            <v>3060</v>
          </cell>
          <cell r="N33">
            <v>457.10370527865155</v>
          </cell>
          <cell r="O33">
            <v>612</v>
          </cell>
          <cell r="R33">
            <v>3</v>
          </cell>
          <cell r="T33">
            <v>65</v>
          </cell>
          <cell r="U33">
            <v>5</v>
          </cell>
          <cell r="V33">
            <v>14.938029584269657</v>
          </cell>
          <cell r="W33">
            <v>2</v>
          </cell>
          <cell r="X33">
            <v>14.938029584269657</v>
          </cell>
          <cell r="Y33">
            <v>2</v>
          </cell>
          <cell r="Z33">
            <v>2</v>
          </cell>
          <cell r="AB33">
            <v>2.5</v>
          </cell>
          <cell r="AC33" t="str">
            <v>MEDIUM</v>
          </cell>
          <cell r="AD33" t="str">
            <v>DRRM Funds</v>
          </cell>
          <cell r="AE33">
            <v>2</v>
          </cell>
          <cell r="AF33" t="str">
            <v>IEC on Environmental Awareness, Early Warning Stations (Flooding), IEC on Disaster Preparedness</v>
          </cell>
          <cell r="AG33">
            <v>3</v>
          </cell>
          <cell r="AH33" t="str">
            <v>Tree growing, Early Warning Systems</v>
          </cell>
          <cell r="AI33">
            <v>3</v>
          </cell>
          <cell r="AJ33" t="str">
            <v>Incident Command System, CVO/Tanod, BDRRMP                                                        CBFM/ISF</v>
          </cell>
          <cell r="AK33">
            <v>3</v>
          </cell>
          <cell r="AM33" t="str">
            <v>Funds and Relief Goods for Disaster affected area Trained Emergency Response Team</v>
          </cell>
          <cell r="AN33">
            <v>3</v>
          </cell>
          <cell r="AO33">
            <v>2.75</v>
          </cell>
          <cell r="AQ33">
            <v>0.90909090909090906</v>
          </cell>
          <cell r="AR33" t="str">
            <v>LOW</v>
          </cell>
          <cell r="AS33">
            <v>3</v>
          </cell>
        </row>
        <row r="34">
          <cell r="F34" t="str">
            <v>Salvacion</v>
          </cell>
          <cell r="G34">
            <v>823.98109999999895</v>
          </cell>
          <cell r="H34">
            <v>824</v>
          </cell>
          <cell r="I34">
            <v>288.39999999999998</v>
          </cell>
          <cell r="J34">
            <v>35</v>
          </cell>
          <cell r="K34" t="str">
            <v>1 Flora, 0 Fauna</v>
          </cell>
          <cell r="M34">
            <v>1580</v>
          </cell>
          <cell r="N34">
            <v>1580.0362411225231</v>
          </cell>
          <cell r="O34">
            <v>316</v>
          </cell>
          <cell r="Q34" t="str">
            <v>276.92 ISF</v>
          </cell>
          <cell r="R34">
            <v>3</v>
          </cell>
          <cell r="T34">
            <v>35</v>
          </cell>
          <cell r="U34">
            <v>4</v>
          </cell>
          <cell r="V34">
            <v>100.00229374193184</v>
          </cell>
          <cell r="W34">
            <v>5</v>
          </cell>
          <cell r="X34">
            <v>100.00229374193184</v>
          </cell>
          <cell r="Y34">
            <v>5</v>
          </cell>
          <cell r="Z34">
            <v>5</v>
          </cell>
          <cell r="AB34">
            <v>4</v>
          </cell>
          <cell r="AC34" t="str">
            <v>MEDIUM HIGH</v>
          </cell>
          <cell r="AD34" t="str">
            <v>DRRM Funds</v>
          </cell>
          <cell r="AE34">
            <v>2</v>
          </cell>
          <cell r="AF34" t="str">
            <v>IEC on Environmental Awareness, Early Warning Stations (Flooding), IEC on Disaster Preparedness</v>
          </cell>
          <cell r="AG34">
            <v>3</v>
          </cell>
          <cell r="AH34" t="str">
            <v>Tree growing, Early Warning Systems</v>
          </cell>
          <cell r="AI34">
            <v>3</v>
          </cell>
          <cell r="AJ34" t="str">
            <v>Incident Command System, CVO/Tanod, BDRRMP                                                        CBFM/ISF</v>
          </cell>
          <cell r="AK34">
            <v>3</v>
          </cell>
          <cell r="AM34" t="str">
            <v>Funds and Relief Goods for Disaster affected area Trained Emergency Response Team</v>
          </cell>
          <cell r="AN34">
            <v>3</v>
          </cell>
          <cell r="AO34">
            <v>2.75</v>
          </cell>
          <cell r="AQ34">
            <v>1.4545454545454546</v>
          </cell>
          <cell r="AR34" t="str">
            <v>MEDIUM LOW</v>
          </cell>
          <cell r="AS34">
            <v>2</v>
          </cell>
        </row>
        <row r="35">
          <cell r="F35" t="str">
            <v>San Vicente</v>
          </cell>
          <cell r="G35">
            <v>379.16419999999903</v>
          </cell>
          <cell r="H35">
            <v>37.9</v>
          </cell>
          <cell r="I35">
            <v>37.9</v>
          </cell>
          <cell r="J35">
            <v>100</v>
          </cell>
          <cell r="M35">
            <v>16187</v>
          </cell>
          <cell r="N35">
            <v>1617.999009400153</v>
          </cell>
          <cell r="O35">
            <v>3237.4</v>
          </cell>
          <cell r="R35">
            <v>3</v>
          </cell>
          <cell r="T35">
            <v>100</v>
          </cell>
          <cell r="U35">
            <v>5</v>
          </cell>
          <cell r="V35">
            <v>9.9956694223769258</v>
          </cell>
          <cell r="W35">
            <v>2</v>
          </cell>
          <cell r="X35">
            <v>9.9956694223769258</v>
          </cell>
          <cell r="Y35">
            <v>2</v>
          </cell>
          <cell r="Z35">
            <v>2</v>
          </cell>
          <cell r="AB35">
            <v>2.5</v>
          </cell>
          <cell r="AC35" t="str">
            <v>MEDIUM</v>
          </cell>
          <cell r="AD35" t="str">
            <v>DRRM Funds</v>
          </cell>
          <cell r="AE35">
            <v>2</v>
          </cell>
          <cell r="AF35" t="str">
            <v>IEC on Environmental Awareness, Early Warning Stations (Flooding), IEC on Disaster Preparedness</v>
          </cell>
          <cell r="AG35">
            <v>3</v>
          </cell>
          <cell r="AH35" t="str">
            <v>Tree growing, Early Warning Systems</v>
          </cell>
          <cell r="AI35">
            <v>3</v>
          </cell>
          <cell r="AJ35" t="str">
            <v>Incident Command System, CVO/Tanod, BDRRMP                                                        CBFM/ISF</v>
          </cell>
          <cell r="AK35">
            <v>3</v>
          </cell>
          <cell r="AM35" t="str">
            <v>Funds and Relief Goods for Disaster affected area Trained Emergency Response Team</v>
          </cell>
          <cell r="AN35">
            <v>3</v>
          </cell>
          <cell r="AO35">
            <v>2.75</v>
          </cell>
          <cell r="AQ35">
            <v>0.90909090909090906</v>
          </cell>
          <cell r="AR35" t="str">
            <v>LOW</v>
          </cell>
          <cell r="AS35">
            <v>4</v>
          </cell>
        </row>
        <row r="36">
          <cell r="F36" t="str">
            <v>Sto. Niño</v>
          </cell>
          <cell r="G36">
            <v>2154.2618000000002</v>
          </cell>
          <cell r="H36">
            <v>665</v>
          </cell>
          <cell r="I36">
            <v>365.75000000000006</v>
          </cell>
          <cell r="J36">
            <v>55.000000000000007</v>
          </cell>
          <cell r="M36">
            <v>2658</v>
          </cell>
          <cell r="N36">
            <v>820.49916124400465</v>
          </cell>
          <cell r="O36">
            <v>531.6</v>
          </cell>
          <cell r="P36">
            <v>0.15</v>
          </cell>
          <cell r="R36">
            <v>3</v>
          </cell>
          <cell r="T36">
            <v>55.000000000000007</v>
          </cell>
          <cell r="U36">
            <v>5</v>
          </cell>
          <cell r="V36">
            <v>30.869042936192802</v>
          </cell>
          <cell r="W36">
            <v>3</v>
          </cell>
          <cell r="X36">
            <v>30.869042936192802</v>
          </cell>
          <cell r="Y36">
            <v>3</v>
          </cell>
          <cell r="Z36">
            <v>3</v>
          </cell>
          <cell r="AB36">
            <v>3</v>
          </cell>
          <cell r="AC36" t="str">
            <v>MEDIUM</v>
          </cell>
          <cell r="AD36" t="str">
            <v>DRRM Funds</v>
          </cell>
          <cell r="AE36">
            <v>2</v>
          </cell>
          <cell r="AF36" t="str">
            <v>IEC on Environmental Awareness, Early Warning Stations (Flooding), IEC on Disaster Preparedness</v>
          </cell>
          <cell r="AG36">
            <v>3</v>
          </cell>
          <cell r="AH36" t="str">
            <v>Early Warning Systems</v>
          </cell>
          <cell r="AI36">
            <v>3</v>
          </cell>
          <cell r="AJ36" t="str">
            <v>Incident Command System, CVO/Tanod, BDRRMP                                                        CBFM/ISF</v>
          </cell>
          <cell r="AK36">
            <v>3</v>
          </cell>
          <cell r="AM36" t="str">
            <v>Funds and Relief Goods for Disaster affected area Trained Emergency Response Team</v>
          </cell>
          <cell r="AN36">
            <v>3</v>
          </cell>
          <cell r="AO36">
            <v>2.75</v>
          </cell>
          <cell r="AQ36">
            <v>1.0909090909090908</v>
          </cell>
          <cell r="AR36" t="str">
            <v>MEDIUM LOW</v>
          </cell>
          <cell r="AS36">
            <v>3</v>
          </cell>
        </row>
        <row r="37">
          <cell r="F37" t="str">
            <v>Sumile</v>
          </cell>
          <cell r="G37">
            <v>1532.3456000000001</v>
          </cell>
          <cell r="H37">
            <v>1033</v>
          </cell>
          <cell r="I37">
            <v>30.99</v>
          </cell>
          <cell r="J37">
            <v>3</v>
          </cell>
          <cell r="K37" t="str">
            <v>5 Flora, 16 Fauna</v>
          </cell>
          <cell r="M37">
            <v>2087</v>
          </cell>
          <cell r="N37">
            <v>1406.9091202402383</v>
          </cell>
          <cell r="O37">
            <v>417.4</v>
          </cell>
          <cell r="R37">
            <v>2</v>
          </cell>
          <cell r="T37">
            <v>3</v>
          </cell>
          <cell r="U37">
            <v>1</v>
          </cell>
          <cell r="V37">
            <v>67.41299090753418</v>
          </cell>
          <cell r="W37">
            <v>5</v>
          </cell>
          <cell r="X37">
            <v>67.41299090753418</v>
          </cell>
          <cell r="Y37">
            <v>5</v>
          </cell>
          <cell r="Z37">
            <v>5</v>
          </cell>
          <cell r="AB37">
            <v>3.5</v>
          </cell>
          <cell r="AC37" t="str">
            <v>MEDIUM HIGH</v>
          </cell>
          <cell r="AD37" t="str">
            <v>DRRM Funds</v>
          </cell>
          <cell r="AE37">
            <v>2</v>
          </cell>
          <cell r="AF37" t="str">
            <v>IEC on Environmental Awareness, Early Warning Stations (Flooding), IEC on Disaster Preparedness</v>
          </cell>
          <cell r="AG37">
            <v>3</v>
          </cell>
          <cell r="AH37" t="str">
            <v>Tree growing, Early Warning Systems</v>
          </cell>
          <cell r="AI37">
            <v>3</v>
          </cell>
          <cell r="AJ37" t="str">
            <v>Incident Command System, CVO/Tanod, BDRRMP                                                        CBFM/ISF</v>
          </cell>
          <cell r="AK37">
            <v>3</v>
          </cell>
          <cell r="AM37" t="str">
            <v>Funds and Relief Goods for Disaster affected area Trained Emergency Response Team</v>
          </cell>
          <cell r="AN37">
            <v>3</v>
          </cell>
          <cell r="AO37">
            <v>2.75</v>
          </cell>
          <cell r="AQ37">
            <v>1.2727272727272727</v>
          </cell>
          <cell r="AR37" t="str">
            <v>MEDIUM LOW</v>
          </cell>
          <cell r="AS37">
            <v>1</v>
          </cell>
        </row>
        <row r="38">
          <cell r="F38" t="str">
            <v>Tagabaca</v>
          </cell>
          <cell r="G38">
            <v>1106.2435</v>
          </cell>
          <cell r="H38">
            <v>716</v>
          </cell>
          <cell r="I38">
            <v>673.04</v>
          </cell>
          <cell r="J38">
            <v>94</v>
          </cell>
          <cell r="M38">
            <v>3487</v>
          </cell>
          <cell r="N38">
            <v>2256.9099841038615</v>
          </cell>
          <cell r="O38">
            <v>697.4</v>
          </cell>
          <cell r="R38">
            <v>3</v>
          </cell>
          <cell r="T38">
            <v>94</v>
          </cell>
          <cell r="U38">
            <v>5</v>
          </cell>
          <cell r="V38">
            <v>64.72354413833844</v>
          </cell>
          <cell r="W38">
            <v>5</v>
          </cell>
          <cell r="X38">
            <v>64.72354413833844</v>
          </cell>
          <cell r="Y38">
            <v>5</v>
          </cell>
          <cell r="Z38">
            <v>5</v>
          </cell>
          <cell r="AB38">
            <v>4</v>
          </cell>
          <cell r="AC38" t="str">
            <v>MEDIUM HIGH</v>
          </cell>
          <cell r="AD38" t="str">
            <v>DRRM Funds</v>
          </cell>
          <cell r="AE38">
            <v>2</v>
          </cell>
          <cell r="AF38" t="str">
            <v>IEC on Environmental Awareness, Early Warning Stations (Flooding), IEC on Disaster Preparedness</v>
          </cell>
          <cell r="AG38">
            <v>3</v>
          </cell>
          <cell r="AH38" t="str">
            <v>Tree growing, Early Warning Systems</v>
          </cell>
          <cell r="AI38">
            <v>3</v>
          </cell>
          <cell r="AJ38" t="str">
            <v>Incident Command System, CVO/Tanod, BDRRMP                                                        CBFM/ISF</v>
          </cell>
          <cell r="AK38">
            <v>3</v>
          </cell>
          <cell r="AM38" t="str">
            <v>Funds and Relief Goods for Disaster affected area Trained Emergency Response Team</v>
          </cell>
          <cell r="AN38">
            <v>3</v>
          </cell>
          <cell r="AO38">
            <v>2.75</v>
          </cell>
          <cell r="AQ38">
            <v>1.4545454545454546</v>
          </cell>
          <cell r="AR38" t="str">
            <v>MEDIUM LOW</v>
          </cell>
          <cell r="AS38">
            <v>4</v>
          </cell>
        </row>
        <row r="39">
          <cell r="F39" t="str">
            <v>Taguibo</v>
          </cell>
          <cell r="G39">
            <v>812.62779999999896</v>
          </cell>
          <cell r="H39">
            <v>805</v>
          </cell>
          <cell r="I39">
            <v>724.5</v>
          </cell>
          <cell r="J39">
            <v>90</v>
          </cell>
          <cell r="K39" t="str">
            <v>32 Flora, 12 Fauna</v>
          </cell>
          <cell r="M39">
            <v>4238</v>
          </cell>
          <cell r="N39">
            <v>4198.2196523426892</v>
          </cell>
          <cell r="O39">
            <v>847.6</v>
          </cell>
          <cell r="P39">
            <v>435.55</v>
          </cell>
          <cell r="R39">
            <v>3</v>
          </cell>
          <cell r="T39">
            <v>90</v>
          </cell>
          <cell r="U39">
            <v>5</v>
          </cell>
          <cell r="V39">
            <v>99.061341489917154</v>
          </cell>
          <cell r="W39">
            <v>5</v>
          </cell>
          <cell r="X39">
            <v>99.061341489917154</v>
          </cell>
          <cell r="Y39">
            <v>5</v>
          </cell>
          <cell r="Z39">
            <v>5</v>
          </cell>
          <cell r="AB39">
            <v>4</v>
          </cell>
          <cell r="AC39" t="str">
            <v>MEDIUM HIGH</v>
          </cell>
          <cell r="AD39" t="str">
            <v>DRRM Funds</v>
          </cell>
          <cell r="AE39">
            <v>2</v>
          </cell>
          <cell r="AF39" t="str">
            <v>IEC on Environmental Awareness, Early Warning Stations (Flooding), IEC on Disaster Preparedness</v>
          </cell>
          <cell r="AG39">
            <v>3</v>
          </cell>
          <cell r="AH39" t="str">
            <v>Tree growing and river clean-up, Early Warning Systems</v>
          </cell>
          <cell r="AI39">
            <v>3</v>
          </cell>
          <cell r="AJ39" t="str">
            <v>Incident Command System, CVO/Tanod, BDRRMP                                                        CBFM/ISF</v>
          </cell>
          <cell r="AK39">
            <v>3</v>
          </cell>
          <cell r="AM39" t="str">
            <v>Funds and Relief Goods for Disaster affected area Trained Emergency Response Team</v>
          </cell>
          <cell r="AN39">
            <v>3</v>
          </cell>
          <cell r="AO39">
            <v>2.75</v>
          </cell>
          <cell r="AQ39">
            <v>1.4545454545454546</v>
          </cell>
          <cell r="AR39" t="str">
            <v>MEDIUM LOW</v>
          </cell>
          <cell r="AS39">
            <v>4</v>
          </cell>
        </row>
        <row r="40">
          <cell r="F40" t="str">
            <v>Taligaman</v>
          </cell>
          <cell r="G40">
            <v>285.80810000000002</v>
          </cell>
          <cell r="H40">
            <v>286</v>
          </cell>
          <cell r="I40">
            <v>114.4</v>
          </cell>
          <cell r="J40">
            <v>40</v>
          </cell>
          <cell r="K40" t="str">
            <v>2 Flora, 14 Fauna</v>
          </cell>
          <cell r="M40">
            <v>4100</v>
          </cell>
          <cell r="N40">
            <v>4102.752861098058</v>
          </cell>
          <cell r="O40">
            <v>820</v>
          </cell>
          <cell r="Q40" t="str">
            <v>97.31 ISF</v>
          </cell>
          <cell r="R40">
            <v>3</v>
          </cell>
          <cell r="T40">
            <v>40</v>
          </cell>
          <cell r="U40">
            <v>4</v>
          </cell>
          <cell r="V40">
            <v>100.06714295361117</v>
          </cell>
          <cell r="W40">
            <v>5</v>
          </cell>
          <cell r="X40">
            <v>100.06714295361117</v>
          </cell>
          <cell r="Y40">
            <v>5</v>
          </cell>
          <cell r="Z40">
            <v>5</v>
          </cell>
          <cell r="AB40">
            <v>4</v>
          </cell>
          <cell r="AC40" t="str">
            <v>MEDIUM HIGH</v>
          </cell>
          <cell r="AD40" t="str">
            <v>DRRM Funds</v>
          </cell>
          <cell r="AE40">
            <v>2</v>
          </cell>
          <cell r="AF40" t="str">
            <v>IEC on Environmental Awareness, Early Warning Stations (Flooding), IEC on Disaster Preparedness</v>
          </cell>
          <cell r="AG40">
            <v>3</v>
          </cell>
          <cell r="AH40" t="str">
            <v>Early Warning Systems</v>
          </cell>
          <cell r="AI40">
            <v>3</v>
          </cell>
          <cell r="AJ40" t="str">
            <v>Incident Command System, CVO/Tanod, BDRRMP                                                        CBFM/ISF</v>
          </cell>
          <cell r="AK40">
            <v>3</v>
          </cell>
          <cell r="AM40" t="str">
            <v>Funds and Relief Goods for Disaster affected area Trained Emergency Response Team</v>
          </cell>
          <cell r="AN40">
            <v>3</v>
          </cell>
          <cell r="AO40">
            <v>2.75</v>
          </cell>
          <cell r="AQ40">
            <v>1.4545454545454546</v>
          </cell>
          <cell r="AR40" t="str">
            <v>MEDIUM LOW</v>
          </cell>
          <cell r="AS40">
            <v>2</v>
          </cell>
        </row>
      </sheetData>
      <sheetData sheetId="2"/>
      <sheetData sheetId="3"/>
      <sheetData sheetId="4"/>
      <sheetData sheetId="5"/>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yron" refreshedDate="44028.594805671295" createdVersion="6" refreshedVersion="6" minRefreshableVersion="3" recordCount="85" xr:uid="{442B97C6-CFAD-4565-9813-8B83402E976C}">
  <cacheSource type="worksheet">
    <worksheetSource ref="A5:AQ90" sheet="3.5 Roads and Bridges"/>
  </cacheSource>
  <cacheFields count="43">
    <cacheField name="(Be consistent with the city-wide hazards)" numFmtId="0">
      <sharedItems containsNonDate="0" containsString="0" containsBlank="1"/>
    </cacheField>
    <cacheField name="Hazard" numFmtId="0">
      <sharedItems/>
    </cacheField>
    <cacheField name="Score (1-6)" numFmtId="0">
      <sharedItems containsSemiMixedTypes="0" containsString="0" containsNumber="1" containsInteger="1" minValue="6" maxValue="6"/>
    </cacheField>
    <cacheField name="Magnitude or Depth" numFmtId="0">
      <sharedItems containsNonDate="0" containsString="0" containsBlank="1"/>
    </cacheField>
    <cacheField name="Geographical Area or Ecosystem" numFmtId="0">
      <sharedItems count="4">
        <s v="URBAN"/>
        <s v="LOWLAND"/>
        <s v="UPLAND"/>
        <s v="COASTAL"/>
      </sharedItems>
    </cacheField>
    <cacheField name="Barangay" numFmtId="0">
      <sharedItems count="85">
        <s v="AGAO"/>
        <s v="AGUSAN PEQUEÑO"/>
        <s v="AMBAGO"/>
        <s v="AMPARO"/>
        <s v="AMPAYON"/>
        <s v="ANTICALA"/>
        <s v="ANTONGALON"/>
        <s v="AUPAGAN"/>
        <s v="BAAN KM 3"/>
        <s v="BAAN RIVERSIDE"/>
        <s v="BABAG"/>
        <s v="BADING"/>
        <s v="BANCASI"/>
        <s v="BANZA"/>
        <s v="BAOBAOAN"/>
        <s v="BASAG"/>
        <s v="BAYANIHAN"/>
        <s v="BILAY"/>
        <s v="BITAN-AGAN"/>
        <s v="BIT-OS"/>
        <s v="BOBON"/>
        <s v="BONBON"/>
        <s v="BUGSUKAN"/>
        <s v="BUHANGIN"/>
        <s v="CABCABON"/>
        <s v="CAMAYAHAN"/>
        <s v="DAGOHOY"/>
        <s v="DANKIAS"/>
        <s v="DE ORO"/>
        <s v="DIEGO SILANG"/>
        <s v="DON FRANCISCO"/>
        <s v="DOONGAN"/>
        <s v="DUMALAGAN"/>
        <s v="FLORIDA"/>
        <s v="FORT POYOHON"/>
        <s v="GOLDEN RIBBON"/>
        <s v="HOLY REDEEMER"/>
        <s v="HUMABON"/>
        <s v="IMADEJAS"/>
        <s v="J.P. RIZAL"/>
        <s v="KINAMLUTAN"/>
        <s v="LAPU-LAPU"/>
        <s v="LEMON"/>
        <s v="LEON KILAT"/>
        <s v="LIBERTAD"/>
        <s v="LIMAHA"/>
        <s v="LOS ANGELES"/>
        <s v="LUMBOCAN"/>
        <s v="M.J. SANTOS"/>
        <s v="MAGUINDA"/>
        <s v="MAHAY"/>
        <s v="MAHOGANY"/>
        <s v="MAIBU"/>
        <s v="MANDAMO"/>
        <s v="MANILA DE BUGABUS"/>
        <s v="MAON"/>
        <s v="MASAO"/>
        <s v="MAUG"/>
        <s v="NEW SOCIETY VILLAGE"/>
        <s v="NONG-NONG"/>
        <s v="OBRERO"/>
        <s v="ONG YIU"/>
        <s v="PAGATPATAN"/>
        <s v="PANGABUGAN"/>
        <s v="PIANING"/>
        <s v="PIGDAULAN"/>
        <s v="PINAMANCULAN"/>
        <s v="RAJAH SOLIMAN"/>
        <s v="SALVACION"/>
        <s v="SAN IGNACIO"/>
        <s v="SAN MATEO"/>
        <s v="SAN VICENTE"/>
        <s v="SANTO NIÑO"/>
        <s v="SIKATUNA"/>
        <s v="SILONGAN"/>
        <s v="SUMILE"/>
        <s v="SUMILIHON"/>
        <s v="TAGABACA"/>
        <s v="TAGUIBO"/>
        <s v="TALIGAMAN"/>
        <s v="TANDANG SORA"/>
        <s v="TINIWISAN"/>
        <s v="TUNGAO"/>
        <s v="URDUJA"/>
        <s v="VILLA KANANGA"/>
      </sharedItems>
    </cacheField>
    <cacheField name="Road classification" numFmtId="0">
      <sharedItems/>
    </cacheField>
    <cacheField name="Replacement cost" numFmtId="43">
      <sharedItems containsSemiMixedTypes="0" containsString="0" containsNumber="1" containsInteger="1" minValue="2600000" maxValue="5200000"/>
    </cacheField>
    <cacheField name="Road Length" numFmtId="164">
      <sharedItems containsSemiMixedTypes="0" containsString="0" containsNumber="1" minValue="0.85608099999999998" maxValue="68.172290000000004"/>
    </cacheField>
    <cacheField name="Exposed Length (Linear Kilometer)" numFmtId="0">
      <sharedItems containsSemiMixedTypes="0" containsString="0" containsNumber="1" minValue="0.172046" maxValue="61.894809200000005"/>
    </cacheField>
    <cacheField name="Value of Exposed Lifeline" numFmtId="43">
      <sharedItems containsSemiMixedTypes="0" containsString="0" containsNumber="1" minValue="894639.20000000007" maxValue="321853007.84000003"/>
    </cacheField>
    <cacheField name="% Exposed_x000a_Length" numFmtId="10">
      <sharedItems containsSemiMixedTypes="0" containsString="0" containsNumber="1" minValue="2.6842545359588105E-2" maxValue="1.0000016333869521"/>
    </cacheField>
    <cacheField name="Exposure Score" numFmtId="0">
      <sharedItems containsSemiMixedTypes="0" containsString="0" containsNumber="1" containsInteger="1" minValue="1" maxValue="5"/>
    </cacheField>
    <cacheField name="Summary of Findings (Exposure)" numFmtId="0">
      <sharedItems containsNonDate="0" containsString="0" containsBlank="1"/>
    </cacheField>
    <cacheField name="Exposed Cemented/Asphalt Road" numFmtId="164">
      <sharedItems containsSemiMixedTypes="0" containsString="0" containsNumber="1" minValue="0" maxValue="34.3825665106"/>
    </cacheField>
    <cacheField name="% Percentage of cemented/asphalt road" numFmtId="10">
      <sharedItems containsSemiMixedTypes="0" containsString="0" containsNumber="1" minValue="0" maxValue="1"/>
    </cacheField>
    <cacheField name="Sensitivity Score" numFmtId="0">
      <sharedItems containsSemiMixedTypes="0" containsString="0" containsNumber="1" containsInteger="1" minValue="1" maxValue="5"/>
    </cacheField>
    <cacheField name="Exposed Rough Roads" numFmtId="164">
      <sharedItems containsSemiMixedTypes="0" containsString="0" containsNumber="1" minValue="0" maxValue="39.434024855200001"/>
    </cacheField>
    <cacheField name="% of rough roads" numFmtId="10">
      <sharedItems containsSemiMixedTypes="0" containsString="0" containsNumber="1" minValue="0" maxValue="1"/>
    </cacheField>
    <cacheField name="Sensitivity Score2" numFmtId="0">
      <sharedItems containsSemiMixedTypes="0" containsString="0" containsNumber="1" containsInteger="1" minValue="1" maxValue="5"/>
    </cacheField>
    <cacheField name="Average Sensitivity Score" numFmtId="2">
      <sharedItems containsSemiMixedTypes="0" containsString="0" containsNumber="1" minValue="3" maxValue="4.5"/>
    </cacheField>
    <cacheField name="Summary of Findings (Sensitivity)" numFmtId="0">
      <sharedItems containsNonDate="0" containsString="0" containsBlank="1"/>
    </cacheField>
    <cacheField name="Degree of Impact" numFmtId="2">
      <sharedItems containsSemiMixedTypes="0" containsString="0" containsNumber="1" minValue="2" maxValue="4.75"/>
    </cacheField>
    <cacheField name="DOI_Category" numFmtId="0">
      <sharedItems/>
    </cacheField>
    <cacheField name="Description" numFmtId="0">
      <sharedItems/>
    </cacheField>
    <cacheField name="W_Adaptive Capacity Score" numFmtId="0">
      <sharedItems containsSemiMixedTypes="0" containsString="0" containsNumber="1" containsInteger="1" minValue="4" maxValue="4"/>
    </cacheField>
    <cacheField name="Description2" numFmtId="0">
      <sharedItems/>
    </cacheField>
    <cacheField name="T_Adaptive Capacity Score" numFmtId="0">
      <sharedItems containsSemiMixedTypes="0" containsString="0" containsNumber="1" containsInteger="1" minValue="2" maxValue="2"/>
    </cacheField>
    <cacheField name="Description3" numFmtId="0">
      <sharedItems/>
    </cacheField>
    <cacheField name="S_Adaptive Capavity Score" numFmtId="0">
      <sharedItems containsSemiMixedTypes="0" containsString="0" containsNumber="1" containsInteger="1" minValue="4" maxValue="4"/>
    </cacheField>
    <cacheField name="Description4" numFmtId="0">
      <sharedItems/>
    </cacheField>
    <cacheField name="I_Adaptive Capacity Score" numFmtId="0">
      <sharedItems containsSemiMixedTypes="0" containsString="0" containsNumber="1" containsInteger="1" minValue="4" maxValue="4"/>
    </cacheField>
    <cacheField name="Description5" numFmtId="0">
      <sharedItems/>
    </cacheField>
    <cacheField name="I/G_Adaptive capacity score" numFmtId="0">
      <sharedItems containsSemiMixedTypes="0" containsString="0" containsNumber="1" containsInteger="1" minValue="4" maxValue="4"/>
    </cacheField>
    <cacheField name="Description6" numFmtId="0">
      <sharedItems/>
    </cacheField>
    <cacheField name="Inf_Adaptive capacity score" numFmtId="0">
      <sharedItems containsSemiMixedTypes="0" containsString="0" containsNumber="1" containsInteger="1" minValue="4" maxValue="4"/>
    </cacheField>
    <cacheField name="Ave. Adaptive Capacity" numFmtId="2">
      <sharedItems containsSemiMixedTypes="0" containsString="0" containsNumber="1" minValue="3.6666666666666665" maxValue="3.6666666666666665"/>
    </cacheField>
    <cacheField name="Summary of Findings (Adaptive Capacity)" numFmtId="0">
      <sharedItems containsNonDate="0" containsString="0" containsBlank="1"/>
    </cacheField>
    <cacheField name="Vulnerability Score" numFmtId="2">
      <sharedItems containsSemiMixedTypes="0" containsString="0" containsNumber="1" minValue="0.54545454545454553" maxValue="1.2954545454545454"/>
    </cacheField>
    <cacheField name="Vulnerabilty Category" numFmtId="0">
      <sharedItems/>
    </cacheField>
    <cacheField name="Severity of Consequence Score" numFmtId="0">
      <sharedItems containsSemiMixedTypes="0" containsString="0" containsNumber="1" containsInteger="1" minValue="1" maxValue="4"/>
    </cacheField>
    <cacheField name="Risk Score" numFmtId="0">
      <sharedItems containsSemiMixedTypes="0" containsString="0" containsNumber="1" containsInteger="1" minValue="6" maxValue="24"/>
    </cacheField>
    <cacheField name="Risk Category"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5">
  <r>
    <m/>
    <s v="FLOODING"/>
    <n v="6"/>
    <m/>
    <x v="0"/>
    <x v="0"/>
    <s v="Barangay road_x000a_City road"/>
    <n v="2600000"/>
    <n v="0.92181899999999994"/>
    <n v="0.92181939999999996"/>
    <n v="2396730.44"/>
    <n v="1.0000004339246642"/>
    <n v="5"/>
    <m/>
    <n v="0.92181939999999996"/>
    <n v="1"/>
    <n v="5"/>
    <n v="0"/>
    <n v="0"/>
    <n v="1"/>
    <n v="3"/>
    <m/>
    <n v="4"/>
    <s v="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0909090909090911"/>
    <s v="MEDIUM LOW"/>
    <n v="3"/>
    <n v="18"/>
    <s v="HIGH RISK"/>
  </r>
  <r>
    <m/>
    <s v="FLOODING"/>
    <n v="6"/>
    <m/>
    <x v="1"/>
    <x v="1"/>
    <s v="Barangay road_x000a_City road"/>
    <n v="2600000"/>
    <n v="6.3489399999999998"/>
    <n v="6.3489405999999997"/>
    <n v="16507245.559999999"/>
    <n v="1.0000000945039644"/>
    <n v="5"/>
    <m/>
    <n v="1.63739178074"/>
    <n v="0.25790000000000002"/>
    <n v="3"/>
    <n v="4.7115488192599999"/>
    <n v="0.74209999999999998"/>
    <n v="5"/>
    <n v="4"/>
    <m/>
    <n v="4.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272727272727273"/>
    <s v="MEDIUM LOW"/>
    <n v="1"/>
    <n v="6"/>
    <s v="MODERATE RISK"/>
  </r>
  <r>
    <m/>
    <s v="FLOODING"/>
    <n v="6"/>
    <m/>
    <x v="1"/>
    <x v="2"/>
    <s v="Barangay road_x000a_City road_x000a_National road"/>
    <n v="5200000"/>
    <n v="31.406580000000002"/>
    <n v="31.4065002"/>
    <n v="163313801.03999999"/>
    <n v="0.99999745913117566"/>
    <n v="5"/>
    <m/>
    <n v="8.6242249549200007"/>
    <n v="0.27460000000000001"/>
    <n v="3"/>
    <n v="22.782275245080001"/>
    <n v="0.72540000000000004"/>
    <n v="5"/>
    <n v="4"/>
    <m/>
    <n v="4.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272727272727273"/>
    <s v="MEDIUM LOW"/>
    <n v="1"/>
    <n v="6"/>
    <s v="MODERATE RISK"/>
  </r>
  <r>
    <m/>
    <s v="FLOODING"/>
    <n v="6"/>
    <m/>
    <x v="2"/>
    <x v="3"/>
    <s v="Barangay road_x000a_City road_x000a_National road"/>
    <n v="5200000"/>
    <n v="15.261330000000001"/>
    <n v="8.9243421999999999"/>
    <n v="46406579.439999998"/>
    <n v="0.58476831311556721"/>
    <n v="5"/>
    <m/>
    <n v="6.4255263839999994"/>
    <n v="0.72"/>
    <n v="5"/>
    <n v="2.4988158160000005"/>
    <n v="0.28000000000000008"/>
    <n v="3"/>
    <n v="4"/>
    <m/>
    <n v="4.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272727272727273"/>
    <s v="MEDIUM LOW"/>
    <n v="1"/>
    <n v="6"/>
    <s v="MODERATE RISK"/>
  </r>
  <r>
    <m/>
    <s v="FLOODING"/>
    <n v="6"/>
    <m/>
    <x v="1"/>
    <x v="4"/>
    <s v="Barangay road_x000a_City road_x000a_National road"/>
    <n v="5200000"/>
    <n v="29.744185999999999"/>
    <n v="29.744185999999999"/>
    <n v="154669767.19999999"/>
    <n v="1"/>
    <n v="5"/>
    <m/>
    <n v="19.5657255508"/>
    <n v="0.65780000000000005"/>
    <n v="5"/>
    <n v="10.178460449199999"/>
    <n v="0.3422"/>
    <n v="4"/>
    <n v="4.5"/>
    <m/>
    <n v="4.7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954545454545454"/>
    <s v="MEDIUM LOW"/>
    <n v="1"/>
    <n v="6"/>
    <s v="MODERATE RISK"/>
  </r>
  <r>
    <m/>
    <s v="FLOODING"/>
    <n v="6"/>
    <m/>
    <x v="2"/>
    <x v="5"/>
    <s v="Barangay road_x000a_National road"/>
    <n v="5200000"/>
    <n v="25.430999999999997"/>
    <n v="1.6052040000000001"/>
    <n v="8347060.8000000007"/>
    <n v="6.3119971688097215E-2"/>
    <n v="2"/>
    <m/>
    <n v="0"/>
    <n v="0"/>
    <n v="1"/>
    <n v="1.6052040000000001"/>
    <n v="1"/>
    <n v="5"/>
    <n v="3"/>
    <m/>
    <n v="2.5"/>
    <s v="MODERATE"/>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0.68181818181818188"/>
    <s v="LOW"/>
    <n v="1"/>
    <n v="6"/>
    <s v="MODERATE RISK"/>
  </r>
  <r>
    <m/>
    <s v="FLOODING"/>
    <n v="6"/>
    <m/>
    <x v="1"/>
    <x v="6"/>
    <s v="Barangay road_x000a_National road"/>
    <n v="5200000"/>
    <n v="8.4385100000000008"/>
    <n v="7.9509999999999996"/>
    <n v="41345200"/>
    <n v="0.9422279525650854"/>
    <n v="5"/>
    <m/>
    <n v="0.98592399999999991"/>
    <n v="0.124"/>
    <n v="2"/>
    <n v="6.9650759999999998"/>
    <n v="0.876"/>
    <n v="5"/>
    <n v="3.5"/>
    <m/>
    <n v="4.2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1590909090909092"/>
    <s v="MEDIUM LOW"/>
    <n v="1"/>
    <n v="6"/>
    <s v="MODERATE RISK"/>
  </r>
  <r>
    <m/>
    <s v="FLOODING"/>
    <n v="6"/>
    <m/>
    <x v="2"/>
    <x v="7"/>
    <s v="Barangay road"/>
    <n v="2600000"/>
    <n v="17.492000000000001"/>
    <n v="9.0850669999999987"/>
    <n v="23621174.199999996"/>
    <n v="0.51938411845415033"/>
    <n v="5"/>
    <m/>
    <n v="0.15717165909999997"/>
    <n v="1.7299999999999999E-2"/>
    <n v="1"/>
    <n v="8.9278953408999993"/>
    <n v="0.98270000000000002"/>
    <n v="5"/>
    <n v="3"/>
    <m/>
    <n v="4"/>
    <s v="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0909090909090911"/>
    <s v="MEDIUM LOW"/>
    <n v="1"/>
    <n v="6"/>
    <s v="MODERATE RISK"/>
  </r>
  <r>
    <m/>
    <s v="FLOODING"/>
    <n v="6"/>
    <m/>
    <x v="1"/>
    <x v="8"/>
    <s v="Barangay road_x000a_City road_x000a_National road"/>
    <n v="5200000"/>
    <n v="31.075049"/>
    <n v="31.075058000000002"/>
    <n v="161590301.60000002"/>
    <n v="1.000000289621426"/>
    <n v="5"/>
    <m/>
    <n v="4.4623770364000004"/>
    <n v="0.14360000000000001"/>
    <n v="2"/>
    <n v="26.6126719636"/>
    <n v="0.85640000000000005"/>
    <n v="5"/>
    <n v="3.5"/>
    <m/>
    <n v="4.2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1590909090909092"/>
    <s v="MEDIUM LOW"/>
    <n v="1"/>
    <n v="6"/>
    <s v="MODERATE RISK"/>
  </r>
  <r>
    <m/>
    <s v="FLOODING"/>
    <n v="6"/>
    <m/>
    <x v="0"/>
    <x v="9"/>
    <s v="Barangay road_x000a_City road"/>
    <n v="2600000"/>
    <n v="4.4961690000000001"/>
    <n v="4.4961715"/>
    <n v="11690045.9"/>
    <n v="1.0000005560289216"/>
    <n v="5"/>
    <m/>
    <n v="3.8028597402000002"/>
    <n v="0.8458"/>
    <n v="5"/>
    <n v="0.69330925979999991"/>
    <n v="0.15419999999999998"/>
    <n v="3"/>
    <n v="4"/>
    <m/>
    <n v="4.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272727272727273"/>
    <s v="MEDIUM LOW"/>
    <n v="3"/>
    <n v="18"/>
    <s v="HIGH RISK"/>
  </r>
  <r>
    <m/>
    <s v="FLOODING"/>
    <n v="6"/>
    <m/>
    <x v="1"/>
    <x v="10"/>
    <s v="Barangay road_x000a_City road_x000a_National road"/>
    <n v="5200000"/>
    <n v="3.8818688999999997"/>
    <n v="3.88186747"/>
    <n v="20185710.844000001"/>
    <n v="0.99999963162073824"/>
    <n v="5"/>
    <m/>
    <n v="2.1583191084000002"/>
    <n v="0.55600000000000005"/>
    <n v="5"/>
    <n v="1.7235497915999995"/>
    <n v="0.44399999999999989"/>
    <n v="4"/>
    <n v="4.5"/>
    <m/>
    <n v="4.7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954545454545454"/>
    <s v="MEDIUM LOW"/>
    <n v="1"/>
    <n v="6"/>
    <s v="MODERATE RISK"/>
  </r>
  <r>
    <m/>
    <s v="FLOODING"/>
    <n v="6"/>
    <m/>
    <x v="0"/>
    <x v="11"/>
    <s v="Barangay road_x000a_City road"/>
    <n v="2600000"/>
    <n v="6.0354999999999999"/>
    <n v="6.0354999999999999"/>
    <n v="15692300"/>
    <n v="1"/>
    <n v="5"/>
    <m/>
    <n v="1.53844895"/>
    <n v="0.25490000000000002"/>
    <n v="3"/>
    <n v="4.4970510499999996"/>
    <n v="0.74509999999999998"/>
    <n v="5"/>
    <n v="4"/>
    <m/>
    <n v="4.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272727272727273"/>
    <s v="MEDIUM LOW"/>
    <n v="3"/>
    <n v="18"/>
    <s v="HIGH RISK"/>
  </r>
  <r>
    <m/>
    <s v="FLOODING"/>
    <n v="6"/>
    <m/>
    <x v="1"/>
    <x v="12"/>
    <s v="Barangay road_x000a_City road_x000a_National road_x000a_Provincial road"/>
    <n v="5200000"/>
    <n v="39.374396000000004"/>
    <n v="29.435226"/>
    <n v="153063175.19999999"/>
    <n v="0.74757276276695128"/>
    <n v="5"/>
    <m/>
    <n v="14.196609499800001"/>
    <n v="0.48230000000000001"/>
    <n v="4"/>
    <n v="15.238616500199999"/>
    <n v="0.51769999999999994"/>
    <n v="5"/>
    <n v="4.5"/>
    <m/>
    <n v="4.7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954545454545454"/>
    <s v="MEDIUM LOW"/>
    <n v="1"/>
    <n v="6"/>
    <s v="MODERATE RISK"/>
  </r>
  <r>
    <m/>
    <s v="FLOODING"/>
    <n v="6"/>
    <m/>
    <x v="1"/>
    <x v="13"/>
    <s v="Barangay road_x000a_City road"/>
    <n v="2600000"/>
    <n v="8.7784999999999993"/>
    <n v="8.7785031"/>
    <n v="22824108.059999999"/>
    <n v="1.0000003531355015"/>
    <n v="5"/>
    <m/>
    <n v="0.69613529583"/>
    <n v="7.9299999999999995E-2"/>
    <n v="2"/>
    <n v="8.0823678041699996"/>
    <n v="0.92069999999999996"/>
    <n v="5"/>
    <n v="3.5"/>
    <m/>
    <n v="4.2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1590909090909092"/>
    <s v="MEDIUM LOW"/>
    <n v="1"/>
    <n v="6"/>
    <s v="MODERATE RISK"/>
  </r>
  <r>
    <m/>
    <s v="FLOODING"/>
    <n v="6"/>
    <m/>
    <x v="1"/>
    <x v="14"/>
    <s v="Barangay road_x000a_NIA_x000a_Provincial road"/>
    <n v="2600000"/>
    <n v="14.954696999999999"/>
    <n v="14.839117"/>
    <n v="38581704.200000003"/>
    <n v="0.99227132452098499"/>
    <n v="5"/>
    <m/>
    <n v="0.3368479559"/>
    <n v="2.2700000000000001E-2"/>
    <n v="1"/>
    <n v="14.5022690441"/>
    <n v="0.97730000000000006"/>
    <n v="5"/>
    <n v="3"/>
    <m/>
    <n v="4"/>
    <s v="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0909090909090911"/>
    <s v="MEDIUM LOW"/>
    <n v="1"/>
    <n v="6"/>
    <s v="MODERATE RISK"/>
  </r>
  <r>
    <m/>
    <s v="FLOODING"/>
    <n v="6"/>
    <m/>
    <x v="1"/>
    <x v="15"/>
    <s v="Barangay road"/>
    <n v="2600000"/>
    <n v="16.182700000000001"/>
    <n v="14.3978"/>
    <n v="37434280"/>
    <n v="0.88970320156710558"/>
    <n v="5"/>
    <m/>
    <n v="0.2519615"/>
    <n v="1.7500000000000002E-2"/>
    <n v="1"/>
    <n v="14.1458385"/>
    <n v="0.98250000000000004"/>
    <n v="5"/>
    <n v="3"/>
    <m/>
    <n v="4"/>
    <s v="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0909090909090911"/>
    <s v="MEDIUM LOW"/>
    <n v="1"/>
    <n v="6"/>
    <s v="MODERATE RISK"/>
  </r>
  <r>
    <m/>
    <s v="FLOODING"/>
    <n v="6"/>
    <m/>
    <x v="0"/>
    <x v="16"/>
    <s v="Barangay road_x000a_City road_x000a_National road"/>
    <n v="5200000"/>
    <n v="16.212708999999997"/>
    <n v="16.212693000000002"/>
    <n v="84306003.600000009"/>
    <n v="0.99999901311989281"/>
    <n v="5"/>
    <m/>
    <n v="9.0807293493000021"/>
    <n v="0.56010000000000004"/>
    <n v="5"/>
    <n v="7.1319636506999995"/>
    <n v="0.4398999999999999"/>
    <n v="4"/>
    <n v="4.5"/>
    <m/>
    <n v="4.7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954545454545454"/>
    <s v="MEDIUM LOW"/>
    <n v="3"/>
    <n v="18"/>
    <s v="HIGH RISK"/>
  </r>
  <r>
    <m/>
    <s v="FLOODING"/>
    <n v="6"/>
    <m/>
    <x v="2"/>
    <x v="17"/>
    <s v="Barangay road"/>
    <n v="2600000"/>
    <n v="12.7377"/>
    <n v="5.6304490000000005"/>
    <n v="14639167.4"/>
    <n v="0.44203027234116055"/>
    <n v="4"/>
    <m/>
    <n v="1.5821561690000003"/>
    <n v="0.28100000000000003"/>
    <n v="3"/>
    <n v="4.0482928310000004"/>
    <n v="0.71899999999999997"/>
    <n v="5"/>
    <n v="4"/>
    <m/>
    <n v="4"/>
    <s v="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0909090909090911"/>
    <s v="MEDIUM LOW"/>
    <n v="1"/>
    <n v="6"/>
    <s v="MODERATE RISK"/>
  </r>
  <r>
    <m/>
    <s v="FLOODING"/>
    <n v="6"/>
    <m/>
    <x v="2"/>
    <x v="18"/>
    <s v="Barangay road"/>
    <n v="2600000"/>
    <n v="10.722899999999999"/>
    <n v="3.6167289999999999"/>
    <n v="9403495.4000000004"/>
    <n v="0.33729019201895011"/>
    <n v="4"/>
    <m/>
    <n v="4.2677402199999999E-2"/>
    <n v="1.18E-2"/>
    <n v="1"/>
    <n v="3.5740515978"/>
    <n v="0.98820000000000008"/>
    <n v="5"/>
    <n v="3"/>
    <m/>
    <n v="3.5"/>
    <s v="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0.95454545454545459"/>
    <s v="LOW"/>
    <n v="1"/>
    <n v="6"/>
    <s v="MODERATE RISK"/>
  </r>
  <r>
    <m/>
    <s v="FLOODING"/>
    <n v="6"/>
    <m/>
    <x v="2"/>
    <x v="19"/>
    <s v="Barangay road_x000a_National road"/>
    <n v="5200000"/>
    <n v="21.019310400000002"/>
    <n v="6.8891106999999998"/>
    <n v="35823375.640000001"/>
    <n v="0.3277515089172478"/>
    <n v="4"/>
    <m/>
    <n v="8.3358239469999998E-2"/>
    <n v="1.21E-2"/>
    <n v="1"/>
    <n v="6.8057524605299999"/>
    <n v="0.9879"/>
    <n v="5"/>
    <n v="3"/>
    <m/>
    <n v="3.5"/>
    <s v="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0.95454545454545459"/>
    <s v="LOW"/>
    <n v="1"/>
    <n v="6"/>
    <s v="MODERATE RISK"/>
  </r>
  <r>
    <m/>
    <s v="FLOODING"/>
    <n v="6"/>
    <m/>
    <x v="1"/>
    <x v="20"/>
    <s v="Barangay road"/>
    <n v="2600000"/>
    <n v="6.4452999999999996"/>
    <n v="6.4453052599999996"/>
    <n v="16757793.675999999"/>
    <n v="1.0000008160985525"/>
    <n v="5"/>
    <m/>
    <n v="3.4875546761859999"/>
    <n v="0.54110000000000003"/>
    <n v="5"/>
    <n v="2.9577505838139997"/>
    <n v="0.45889999999999997"/>
    <n v="4"/>
    <n v="4.5"/>
    <m/>
    <n v="4.7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954545454545454"/>
    <s v="MEDIUM LOW"/>
    <n v="1"/>
    <n v="6"/>
    <s v="MODERATE RISK"/>
  </r>
  <r>
    <m/>
    <s v="FLOODING"/>
    <n v="6"/>
    <m/>
    <x v="1"/>
    <x v="21"/>
    <s v="Barangay road_x000a_City road_x000a_National road"/>
    <n v="5200000"/>
    <n v="31.494199999999999"/>
    <n v="19.113407999999996"/>
    <n v="99389721.599999979"/>
    <n v="0.6068866013424693"/>
    <n v="5"/>
    <m/>
    <n v="2.7236606399999994"/>
    <n v="0.14249999999999999"/>
    <n v="2"/>
    <n v="16.389747359999998"/>
    <n v="0.85750000000000004"/>
    <n v="5"/>
    <n v="3.5"/>
    <m/>
    <n v="4.2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1590909090909092"/>
    <s v="MEDIUM LOW"/>
    <n v="1"/>
    <n v="6"/>
    <s v="MODERATE RISK"/>
  </r>
  <r>
    <m/>
    <s v="FLOODING"/>
    <n v="6"/>
    <m/>
    <x v="2"/>
    <x v="22"/>
    <s v="Barangay road"/>
    <n v="2600000"/>
    <n v="5.8381100000000004"/>
    <n v="0.61901899999999999"/>
    <n v="1609449.4"/>
    <n v="0.10603071884565381"/>
    <n v="2"/>
    <m/>
    <n v="0"/>
    <n v="0"/>
    <n v="1"/>
    <n v="0.61901899999999999"/>
    <n v="1"/>
    <n v="5"/>
    <n v="3"/>
    <m/>
    <n v="2.5"/>
    <s v="MODERATE"/>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0.68181818181818188"/>
    <s v="LOW"/>
    <n v="1"/>
    <n v="6"/>
    <s v="MODERATE RISK"/>
  </r>
  <r>
    <m/>
    <s v="FLOODING"/>
    <n v="6"/>
    <m/>
    <x v="0"/>
    <x v="23"/>
    <s v="Barangay road_x000a_City road_x000a_National road"/>
    <n v="5200000"/>
    <n v="6.4680589600000005"/>
    <n v="6.4680583600000006"/>
    <n v="33633903.472000003"/>
    <n v="0.99999990723646714"/>
    <n v="5"/>
    <m/>
    <n v="1.7379672813320002"/>
    <n v="0.26869999999999999"/>
    <n v="3"/>
    <n v="4.7300910786679999"/>
    <n v="0.73129999999999995"/>
    <n v="5"/>
    <n v="4"/>
    <m/>
    <n v="4.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272727272727273"/>
    <s v="MEDIUM LOW"/>
    <n v="3"/>
    <n v="18"/>
    <s v="HIGH RISK"/>
  </r>
  <r>
    <m/>
    <s v="FLOODING"/>
    <n v="6"/>
    <m/>
    <x v="1"/>
    <x v="24"/>
    <s v="Barangay road"/>
    <n v="2600000"/>
    <n v="10.1265"/>
    <n v="9.6665039999999998"/>
    <n v="25132910.399999999"/>
    <n v="0.95457502592208554"/>
    <n v="5"/>
    <m/>
    <n v="0.40502651759999997"/>
    <n v="4.19E-2"/>
    <n v="1"/>
    <n v="9.2614774824000001"/>
    <n v="0.95810000000000006"/>
    <n v="5"/>
    <n v="3"/>
    <m/>
    <n v="4"/>
    <s v="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0909090909090911"/>
    <s v="MEDIUM LOW"/>
    <n v="1"/>
    <n v="6"/>
    <s v="MODERATE RISK"/>
  </r>
  <r>
    <m/>
    <s v="FLOODING"/>
    <n v="6"/>
    <m/>
    <x v="2"/>
    <x v="25"/>
    <s v="Barangay road"/>
    <n v="2600000"/>
    <n v="13.091200000000001"/>
    <n v="1.91228"/>
    <n v="4971928"/>
    <n v="0.14607369836225861"/>
    <n v="2"/>
    <m/>
    <n v="7.3240323999999996E-2"/>
    <n v="3.8300000000000001E-2"/>
    <n v="1"/>
    <n v="1.8390396760000001"/>
    <n v="0.9617"/>
    <n v="5"/>
    <n v="3"/>
    <m/>
    <n v="2.5"/>
    <s v="MODERATE"/>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0.68181818181818188"/>
    <s v="LOW"/>
    <n v="1"/>
    <n v="6"/>
    <s v="MODERATE RISK"/>
  </r>
  <r>
    <m/>
    <s v="FLOODING"/>
    <n v="6"/>
    <m/>
    <x v="0"/>
    <x v="26"/>
    <s v="Barangay road_x000a_City road"/>
    <n v="2600000"/>
    <n v="4.8544600000000004"/>
    <n v="4.8544559999999999"/>
    <n v="12621585.6"/>
    <n v="0.99999917601545785"/>
    <n v="5"/>
    <m/>
    <n v="4.0350238271999999"/>
    <n v="0.83120000000000005"/>
    <n v="5"/>
    <n v="0.81943217280000002"/>
    <n v="0.16880000000000001"/>
    <n v="3"/>
    <n v="4"/>
    <m/>
    <n v="4.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272727272727273"/>
    <s v="MEDIUM LOW"/>
    <n v="3"/>
    <n v="18"/>
    <s v="HIGH RISK"/>
  </r>
  <r>
    <m/>
    <s v="FLOODING"/>
    <n v="6"/>
    <m/>
    <x v="2"/>
    <x v="27"/>
    <s v="Barangay road_x000a_National road_x000a_Provincial road"/>
    <n v="5200000"/>
    <n v="12.750299999999999"/>
    <n v="8.8772377999999996"/>
    <n v="46161636.559999995"/>
    <n v="0.69623756303773243"/>
    <n v="5"/>
    <m/>
    <n v="5.9921355150000002"/>
    <n v="0.67500000000000004"/>
    <n v="5"/>
    <n v="2.8851022849999994"/>
    <n v="0.32499999999999996"/>
    <n v="4"/>
    <n v="4.5"/>
    <m/>
    <n v="4.7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954545454545454"/>
    <s v="MEDIUM LOW"/>
    <n v="1"/>
    <n v="6"/>
    <s v="MODERATE RISK"/>
  </r>
  <r>
    <m/>
    <s v="FLOODING"/>
    <n v="6"/>
    <m/>
    <x v="2"/>
    <x v="28"/>
    <s v="National road"/>
    <n v="5200000"/>
    <n v="2.2807499999999998"/>
    <n v="0.172046"/>
    <n v="894639.20000000007"/>
    <n v="7.5433958127808842E-2"/>
    <n v="2"/>
    <m/>
    <n v="0.172046"/>
    <n v="1"/>
    <n v="5"/>
    <n v="0"/>
    <n v="0"/>
    <n v="1"/>
    <n v="3"/>
    <m/>
    <n v="2.5"/>
    <s v="MODERATE"/>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0.68181818181818188"/>
    <s v="LOW"/>
    <n v="1"/>
    <n v="6"/>
    <s v="MODERATE RISK"/>
  </r>
  <r>
    <m/>
    <s v="FLOODING"/>
    <n v="6"/>
    <m/>
    <x v="0"/>
    <x v="29"/>
    <s v="Barangay road_x000a_City road_x000a_National road"/>
    <n v="5200000"/>
    <n v="2.435546"/>
    <n v="2.4355495999999999"/>
    <n v="12664857.92"/>
    <n v="1.0000014781079889"/>
    <n v="5"/>
    <m/>
    <n v="2.4355495999999999"/>
    <n v="1"/>
    <n v="5"/>
    <n v="0"/>
    <n v="0"/>
    <n v="1"/>
    <n v="3"/>
    <m/>
    <n v="4"/>
    <s v="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0909090909090911"/>
    <s v="MEDIUM LOW"/>
    <n v="3"/>
    <n v="18"/>
    <s v="HIGH RISK"/>
  </r>
  <r>
    <m/>
    <s v="FLOODING"/>
    <n v="6"/>
    <m/>
    <x v="2"/>
    <x v="30"/>
    <s v="Barangay road"/>
    <n v="2600000"/>
    <n v="5.7288199999999998"/>
    <n v="0.49418850000000003"/>
    <n v="1284890.1000000001"/>
    <n v="8.6263576094204403E-2"/>
    <n v="2"/>
    <m/>
    <n v="0.49418850000000003"/>
    <n v="1"/>
    <n v="5"/>
    <n v="0"/>
    <n v="0"/>
    <n v="1"/>
    <n v="3"/>
    <m/>
    <n v="2.5"/>
    <s v="MODERATE"/>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0.68181818181818188"/>
    <s v="LOW"/>
    <n v="1"/>
    <n v="6"/>
    <s v="MODERATE RISK"/>
  </r>
  <r>
    <m/>
    <s v="FLOODING"/>
    <n v="6"/>
    <m/>
    <x v="1"/>
    <x v="31"/>
    <s v="Barangay road_x000a_City road_x000a_National road"/>
    <n v="5200000"/>
    <n v="34.581380000000003"/>
    <n v="34.581425100000004"/>
    <n v="179823410.52000001"/>
    <n v="1.0000013041700475"/>
    <n v="5"/>
    <m/>
    <n v="5.6886444289500009"/>
    <n v="0.16450000000000001"/>
    <n v="3"/>
    <n v="28.892780671050005"/>
    <n v="0.83550000000000002"/>
    <n v="5"/>
    <n v="4"/>
    <m/>
    <n v="4.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272727272727273"/>
    <s v="MEDIUM LOW"/>
    <n v="1"/>
    <n v="6"/>
    <s v="MODERATE RISK"/>
  </r>
  <r>
    <m/>
    <s v="FLOODING"/>
    <n v="6"/>
    <m/>
    <x v="2"/>
    <x v="32"/>
    <s v="Barangay road_x000a_NIA_x000a_National road_x000a_Provincial road"/>
    <n v="5200000"/>
    <n v="16.250083199999999"/>
    <n v="2.0332550599999997"/>
    <n v="10572926.311999999"/>
    <n v="0.12512274767922418"/>
    <n v="2"/>
    <m/>
    <n v="1.0091044862779999"/>
    <n v="0.49630000000000002"/>
    <n v="4"/>
    <n v="1.0241505737219998"/>
    <n v="0.50370000000000004"/>
    <n v="5"/>
    <n v="4.5"/>
    <m/>
    <n v="3.25"/>
    <s v="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0.88636363636363635"/>
    <s v="LOW"/>
    <n v="1"/>
    <n v="6"/>
    <s v="MODERATE RISK"/>
  </r>
  <r>
    <m/>
    <s v="FLOODING"/>
    <n v="6"/>
    <m/>
    <x v="2"/>
    <x v="33"/>
    <s v="Barangay road_x000a_Provincial road"/>
    <n v="2600000"/>
    <n v="36.836129999999997"/>
    <n v="8.7609307000000012"/>
    <n v="22778419.820000004"/>
    <n v="0.23783526391073118"/>
    <n v="3"/>
    <m/>
    <n v="0"/>
    <n v="0"/>
    <n v="1"/>
    <n v="8.7609307000000012"/>
    <n v="1"/>
    <n v="5"/>
    <n v="3"/>
    <m/>
    <n v="3"/>
    <s v="MODERATE"/>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0.81818181818181823"/>
    <s v="LOW"/>
    <n v="1"/>
    <n v="6"/>
    <s v="MODERATE RISK"/>
  </r>
  <r>
    <m/>
    <s v="FLOODING"/>
    <n v="6"/>
    <m/>
    <x v="0"/>
    <x v="34"/>
    <s v="Barangay road_x000a_City road"/>
    <n v="2600000"/>
    <n v="5.5989100000000001"/>
    <n v="5.598908999999999"/>
    <n v="14557163.399999997"/>
    <n v="0.99999982139380683"/>
    <n v="5"/>
    <m/>
    <n v="1.7686953530999998"/>
    <n v="0.31590000000000001"/>
    <n v="4"/>
    <n v="3.830213646899999"/>
    <n v="0.68409999999999993"/>
    <n v="5"/>
    <n v="4.5"/>
    <m/>
    <n v="4.7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954545454545454"/>
    <s v="MEDIUM LOW"/>
    <n v="3"/>
    <n v="18"/>
    <s v="HIGH RISK"/>
  </r>
  <r>
    <m/>
    <s v="FLOODING"/>
    <n v="6"/>
    <m/>
    <x v="0"/>
    <x v="35"/>
    <s v="Barangay road_x000a_City road_x000a_National road"/>
    <n v="5200000"/>
    <n v="4.1097300000000008"/>
    <n v="4.109723100000001"/>
    <n v="21370560.120000005"/>
    <n v="0.99999832105758779"/>
    <n v="5"/>
    <m/>
    <n v="3.372438775860001"/>
    <n v="0.8206"/>
    <n v="5"/>
    <n v="0.73728432414"/>
    <n v="0.17939999999999995"/>
    <n v="3"/>
    <n v="4"/>
    <m/>
    <n v="4.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272727272727273"/>
    <s v="MEDIUM LOW"/>
    <n v="3"/>
    <n v="18"/>
    <s v="HIGH RISK"/>
  </r>
  <r>
    <m/>
    <s v="FLOODING"/>
    <n v="6"/>
    <m/>
    <x v="0"/>
    <x v="36"/>
    <s v="Barangay road_x000a_City road_x000a_National road"/>
    <n v="5200000"/>
    <n v="7.825704"/>
    <n v="7.8257067499999993"/>
    <n v="40693675.099999994"/>
    <n v="1.0000003514060842"/>
    <n v="5"/>
    <m/>
    <n v="2.9135106230250001"/>
    <n v="0.37230000000000002"/>
    <n v="4"/>
    <n v="4.9121961269749992"/>
    <n v="0.62769999999999992"/>
    <n v="5"/>
    <n v="4.5"/>
    <m/>
    <n v="4.7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954545454545454"/>
    <s v="MEDIUM LOW"/>
    <n v="3"/>
    <n v="18"/>
    <s v="HIGH RISK"/>
  </r>
  <r>
    <m/>
    <s v="FLOODING"/>
    <n v="6"/>
    <m/>
    <x v="0"/>
    <x v="37"/>
    <s v="City road"/>
    <n v="2600000"/>
    <n v="0.85608099999999998"/>
    <n v="0.85608099999999998"/>
    <n v="2225810.6"/>
    <n v="1"/>
    <n v="5"/>
    <m/>
    <n v="0.85608099999999998"/>
    <n v="1"/>
    <n v="5"/>
    <n v="0"/>
    <n v="0"/>
    <n v="1"/>
    <n v="3"/>
    <m/>
    <n v="4"/>
    <s v="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0909090909090911"/>
    <s v="MEDIUM LOW"/>
    <n v="3"/>
    <n v="18"/>
    <s v="HIGH RISK"/>
  </r>
  <r>
    <m/>
    <s v="FLOODING"/>
    <n v="6"/>
    <m/>
    <x v="0"/>
    <x v="38"/>
    <s v="Barangay road_x000a_City road_x000a_National road"/>
    <n v="5200000"/>
    <n v="4.6444069999999993"/>
    <n v="4.6444090000000005"/>
    <n v="24150926.800000001"/>
    <n v="1.0000004306254817"/>
    <n v="5"/>
    <m/>
    <n v="2.3644686219000004"/>
    <n v="0.5091"/>
    <n v="5"/>
    <n v="2.2799403781000001"/>
    <n v="0.49089999999999995"/>
    <n v="4"/>
    <n v="4.5"/>
    <m/>
    <n v="4.7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954545454545454"/>
    <s v="MEDIUM LOW"/>
    <n v="3"/>
    <n v="18"/>
    <s v="HIGH RISK"/>
  </r>
  <r>
    <m/>
    <s v="FLOODING"/>
    <n v="6"/>
    <m/>
    <x v="0"/>
    <x v="39"/>
    <s v="Barangay road_x000a_City road"/>
    <n v="2600000"/>
    <n v="11.300230000000001"/>
    <n v="11.300229999999999"/>
    <n v="29380597.999999996"/>
    <n v="0.99999999999999989"/>
    <n v="5"/>
    <m/>
    <n v="6.6626156079999994"/>
    <n v="0.58960000000000001"/>
    <n v="5"/>
    <n v="4.6376143919999997"/>
    <n v="0.41039999999999999"/>
    <n v="4"/>
    <n v="4.5"/>
    <m/>
    <n v="4.7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954545454545454"/>
    <s v="MEDIUM LOW"/>
    <n v="3"/>
    <n v="18"/>
    <s v="HIGH RISK"/>
  </r>
  <r>
    <m/>
    <s v="FLOODING"/>
    <n v="6"/>
    <m/>
    <x v="1"/>
    <x v="40"/>
    <s v="Barangay road_x000a_National road"/>
    <n v="5200000"/>
    <n v="15.10915"/>
    <n v="11.074216999999999"/>
    <n v="57585928.399999999"/>
    <n v="0.73294771711181628"/>
    <n v="5"/>
    <m/>
    <n v="3.3222650999999996"/>
    <n v="0.3"/>
    <n v="3"/>
    <n v="7.7519518999999999"/>
    <n v="0.70000000000000007"/>
    <n v="5"/>
    <n v="4"/>
    <m/>
    <n v="4.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272727272727273"/>
    <s v="MEDIUM LOW"/>
    <n v="1"/>
    <n v="6"/>
    <s v="MODERATE RISK"/>
  </r>
  <r>
    <m/>
    <s v="FLOODING"/>
    <n v="6"/>
    <m/>
    <x v="0"/>
    <x v="41"/>
    <s v="Barangay road_x000a_City road_x000a_National road"/>
    <n v="5200000"/>
    <n v="1.5565789999999997"/>
    <n v="1.55657954"/>
    <n v="8094213.608"/>
    <n v="1.0000003469146124"/>
    <n v="5"/>
    <m/>
    <n v="1.2546031092400001"/>
    <n v="0.80600000000000005"/>
    <n v="5"/>
    <n v="0.30197643075999991"/>
    <n v="0.19399999999999995"/>
    <n v="3"/>
    <n v="4"/>
    <m/>
    <n v="4.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272727272727273"/>
    <s v="MEDIUM LOW"/>
    <n v="3"/>
    <n v="18"/>
    <s v="HIGH RISK"/>
  </r>
  <r>
    <m/>
    <s v="FLOODING"/>
    <n v="6"/>
    <m/>
    <x v="1"/>
    <x v="42"/>
    <s v="Barangay road_x000a_National road"/>
    <n v="5200000"/>
    <n v="10.92834"/>
    <n v="10.92834"/>
    <n v="56827368"/>
    <n v="1"/>
    <n v="5"/>
    <m/>
    <n v="1.9889578800000001"/>
    <n v="0.182"/>
    <n v="3"/>
    <n v="8.9393821200000012"/>
    <n v="0.81800000000000006"/>
    <n v="5"/>
    <n v="4"/>
    <m/>
    <n v="4.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272727272727273"/>
    <s v="MEDIUM LOW"/>
    <n v="1"/>
    <n v="6"/>
    <s v="MODERATE RISK"/>
  </r>
  <r>
    <m/>
    <s v="FLOODING"/>
    <n v="6"/>
    <m/>
    <x v="0"/>
    <x v="43"/>
    <s v="Barangay road_x000a_City road"/>
    <n v="2600000"/>
    <n v="1.2244496"/>
    <n v="1.2244516000000001"/>
    <n v="3183574.16"/>
    <n v="1.0000016333869521"/>
    <n v="5"/>
    <m/>
    <n v="1.2244516000000001"/>
    <n v="1"/>
    <n v="5"/>
    <n v="0"/>
    <n v="0"/>
    <n v="1"/>
    <n v="3"/>
    <m/>
    <n v="4"/>
    <s v="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0909090909090911"/>
    <s v="MEDIUM LOW"/>
    <n v="3"/>
    <n v="18"/>
    <s v="HIGH RISK"/>
  </r>
  <r>
    <m/>
    <s v="FLOODING"/>
    <n v="6"/>
    <m/>
    <x v="1"/>
    <x v="44"/>
    <s v="Barangay road_x000a_City road_x000a_National road"/>
    <n v="5200000"/>
    <n v="63.604479999999995"/>
    <n v="61.894809200000005"/>
    <n v="321853007.84000003"/>
    <n v="0.9731202770622448"/>
    <n v="5"/>
    <m/>
    <n v="34.3825665106"/>
    <n v="0.55549999999999999"/>
    <n v="5"/>
    <n v="27.512242689400004"/>
    <n v="0.44450000000000006"/>
    <n v="4"/>
    <n v="4.5"/>
    <m/>
    <n v="4.7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954545454545454"/>
    <s v="MEDIUM LOW"/>
    <n v="1"/>
    <n v="6"/>
    <s v="MODERATE RISK"/>
  </r>
  <r>
    <m/>
    <s v="FLOODING"/>
    <n v="6"/>
    <m/>
    <x v="0"/>
    <x v="45"/>
    <s v="Barangay road_x000a_City road_x000a_National road"/>
    <n v="5200000"/>
    <n v="7.0120740000000001"/>
    <n v="7.0120693000000003"/>
    <n v="36462760.359999999"/>
    <n v="0.99999932972755279"/>
    <n v="5"/>
    <m/>
    <n v="3.4338103362100001"/>
    <n v="0.48970000000000002"/>
    <n v="4"/>
    <n v="3.5782589637900002"/>
    <n v="0.51029999999999998"/>
    <n v="5"/>
    <n v="4.5"/>
    <m/>
    <n v="4.7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954545454545454"/>
    <s v="MEDIUM LOW"/>
    <n v="3"/>
    <n v="18"/>
    <s v="HIGH RISK"/>
  </r>
  <r>
    <m/>
    <s v="FLOODING"/>
    <n v="6"/>
    <m/>
    <x v="1"/>
    <x v="46"/>
    <s v="Barangay road_x000a_National road"/>
    <n v="5200000"/>
    <n v="18.032319999999999"/>
    <n v="17.958020000000001"/>
    <n v="93381704"/>
    <n v="0.99587962059235879"/>
    <n v="5"/>
    <m/>
    <n v="0.86378076199999998"/>
    <n v="4.8099999999999997E-2"/>
    <n v="1"/>
    <n v="17.094239238"/>
    <n v="0.95189999999999997"/>
    <n v="5"/>
    <n v="3"/>
    <m/>
    <n v="4"/>
    <s v="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0909090909090911"/>
    <s v="MEDIUM LOW"/>
    <n v="1"/>
    <n v="6"/>
    <s v="MODERATE RISK"/>
  </r>
  <r>
    <m/>
    <s v="FLOODING"/>
    <n v="6"/>
    <m/>
    <x v="3"/>
    <x v="47"/>
    <s v="Barangay road_x000a_National road"/>
    <n v="5200000"/>
    <n v="4.9911300000000001"/>
    <n v="4.9911300000000001"/>
    <n v="25953876"/>
    <n v="1"/>
    <n v="5"/>
    <m/>
    <n v="1.6969842000000002"/>
    <n v="0.34"/>
    <n v="4"/>
    <n v="3.2941457999999999"/>
    <n v="0.65999999999999992"/>
    <n v="5"/>
    <n v="4.5"/>
    <m/>
    <n v="4.7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954545454545454"/>
    <s v="MEDIUM LOW"/>
    <n v="4"/>
    <n v="24"/>
    <s v="HIGH RISK"/>
  </r>
  <r>
    <m/>
    <s v="FLOODING"/>
    <n v="6"/>
    <m/>
    <x v="2"/>
    <x v="48"/>
    <s v="Barangay road_x000a_National road"/>
    <n v="5200000"/>
    <n v="7.0247299999999999"/>
    <n v="0.95795640000000004"/>
    <n v="4981373.28"/>
    <n v="0.13636914158978353"/>
    <n v="2"/>
    <m/>
    <n v="0"/>
    <n v="0"/>
    <n v="1"/>
    <n v="0.95795640000000004"/>
    <n v="1"/>
    <n v="5"/>
    <n v="3"/>
    <m/>
    <n v="2.5"/>
    <s v="MODERATE"/>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0.68181818181818188"/>
    <s v="LOW"/>
    <n v="1"/>
    <n v="6"/>
    <s v="MODERATE RISK"/>
  </r>
  <r>
    <m/>
    <s v="FLOODING"/>
    <n v="6"/>
    <m/>
    <x v="2"/>
    <x v="49"/>
    <s v="Barangay road"/>
    <n v="2600000"/>
    <n v="17.447299999999998"/>
    <n v="3.3257829999999999"/>
    <n v="8647035.8000000007"/>
    <n v="0.19061877769053093"/>
    <n v="3"/>
    <m/>
    <n v="0.79985081149999993"/>
    <n v="0.24049999999999999"/>
    <n v="3"/>
    <n v="2.5259321885000001"/>
    <n v="0.75950000000000006"/>
    <n v="5"/>
    <n v="4"/>
    <m/>
    <n v="3.5"/>
    <s v="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0.95454545454545459"/>
    <s v="LOW"/>
    <n v="1"/>
    <n v="6"/>
    <s v="MODERATE RISK"/>
  </r>
  <r>
    <m/>
    <s v="FLOODING"/>
    <n v="6"/>
    <m/>
    <x v="1"/>
    <x v="50"/>
    <s v="Barangay road_x000a_National road"/>
    <n v="5200000"/>
    <n v="20.122319999999998"/>
    <n v="20.120523000000002"/>
    <n v="104626719.60000001"/>
    <n v="0.99991069618215012"/>
    <n v="5"/>
    <m/>
    <n v="3.5371879434000006"/>
    <n v="0.17580000000000001"/>
    <n v="3"/>
    <n v="16.583335056600003"/>
    <n v="0.82420000000000004"/>
    <n v="5"/>
    <n v="4"/>
    <m/>
    <n v="4.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272727272727273"/>
    <s v="MEDIUM LOW"/>
    <n v="1"/>
    <n v="6"/>
    <s v="MODERATE RISK"/>
  </r>
  <r>
    <m/>
    <s v="FLOODING"/>
    <n v="6"/>
    <m/>
    <x v="0"/>
    <x v="51"/>
    <s v="Barangay road_x000a_City road"/>
    <n v="2600000"/>
    <n v="5.9104000000000001"/>
    <n v="5.9104041"/>
    <n v="15367050.66"/>
    <n v="1.0000006936924744"/>
    <n v="5"/>
    <m/>
    <n v="1.12120365777"/>
    <n v="0.18970000000000001"/>
    <n v="3"/>
    <n v="4.7892004422300003"/>
    <n v="0.81030000000000002"/>
    <n v="5"/>
    <n v="4"/>
    <m/>
    <n v="4.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272727272727273"/>
    <s v="MEDIUM LOW"/>
    <n v="3"/>
    <n v="18"/>
    <s v="HIGH RISK"/>
  </r>
  <r>
    <m/>
    <s v="FLOODING"/>
    <n v="6"/>
    <m/>
    <x v="2"/>
    <x v="52"/>
    <s v="Barangay road"/>
    <n v="2600000"/>
    <n v="9.00014"/>
    <n v="0.63432620000000006"/>
    <n v="1649248.12"/>
    <n v="7.0479592539671607E-2"/>
    <n v="2"/>
    <m/>
    <n v="1.4716367840000001E-2"/>
    <n v="2.3199999999999998E-2"/>
    <n v="1"/>
    <n v="0.6196098321600001"/>
    <n v="0.9768"/>
    <n v="5"/>
    <n v="3"/>
    <m/>
    <n v="2.5"/>
    <s v="MODERATE"/>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0.68181818181818188"/>
    <s v="LOW"/>
    <n v="1"/>
    <n v="6"/>
    <s v="MODERATE RISK"/>
  </r>
  <r>
    <m/>
    <s v="FLOODING"/>
    <n v="6"/>
    <m/>
    <x v="2"/>
    <x v="53"/>
    <s v="Barangay road_x000a_Provincial road"/>
    <n v="2600000"/>
    <n v="16.02581"/>
    <n v="13.186126999999999"/>
    <n v="34283930.199999996"/>
    <n v="0.82280564913723542"/>
    <n v="5"/>
    <m/>
    <n v="0.69622750559999991"/>
    <n v="5.28E-2"/>
    <n v="2"/>
    <n v="12.489899494399999"/>
    <n v="0.94720000000000004"/>
    <n v="5"/>
    <n v="3.5"/>
    <m/>
    <n v="4.2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1590909090909092"/>
    <s v="MEDIUM LOW"/>
    <n v="1"/>
    <n v="6"/>
    <s v="MODERATE RISK"/>
  </r>
  <r>
    <m/>
    <s v="FLOODING"/>
    <n v="6"/>
    <m/>
    <x v="2"/>
    <x v="54"/>
    <s v="Barangay road"/>
    <n v="2600000"/>
    <n v="22.753499999999999"/>
    <n v="1.4132449999999999"/>
    <n v="3674436.9999999995"/>
    <n v="6.2111103786230686E-2"/>
    <n v="2"/>
    <m/>
    <n v="2.1057350499999999E-2"/>
    <n v="1.49E-2"/>
    <n v="1"/>
    <n v="1.3921876494999998"/>
    <n v="0.98509999999999998"/>
    <n v="5"/>
    <n v="3"/>
    <m/>
    <n v="2.5"/>
    <s v="MODERATE"/>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0.68181818181818188"/>
    <s v="LOW"/>
    <n v="1"/>
    <n v="6"/>
    <s v="MODERATE RISK"/>
  </r>
  <r>
    <m/>
    <s v="FLOODING"/>
    <n v="6"/>
    <m/>
    <x v="0"/>
    <x v="55"/>
    <s v="Barangay road_x000a_City road_x000a_National road"/>
    <n v="5200000"/>
    <n v="9.1214209999999998"/>
    <n v="9.1214209999999998"/>
    <n v="47431389.199999996"/>
    <n v="1"/>
    <n v="5"/>
    <m/>
    <n v="0.91943923679999995"/>
    <n v="0.1008"/>
    <n v="2"/>
    <n v="8.2019817631999992"/>
    <n v="0.89919999999999989"/>
    <n v="5"/>
    <n v="3.5"/>
    <m/>
    <n v="4.2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1590909090909092"/>
    <s v="MEDIUM LOW"/>
    <n v="3"/>
    <n v="18"/>
    <s v="HIGH RISK"/>
  </r>
  <r>
    <m/>
    <s v="FLOODING"/>
    <n v="6"/>
    <m/>
    <x v="3"/>
    <x v="56"/>
    <s v="Barangay road_x000a_Private road_x000a_Provincial road_x000a_National road"/>
    <n v="5200000"/>
    <n v="10.306303"/>
    <n v="10.306303"/>
    <n v="53592775.600000001"/>
    <n v="1"/>
    <n v="5"/>
    <m/>
    <n v="6.4053673145000003"/>
    <n v="0.62150000000000005"/>
    <n v="5"/>
    <n v="3.9009356854999995"/>
    <n v="0.37849999999999995"/>
    <n v="4"/>
    <n v="4.5"/>
    <m/>
    <n v="4.7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954545454545454"/>
    <s v="MEDIUM LOW"/>
    <n v="4"/>
    <n v="24"/>
    <s v="HIGH RISK"/>
  </r>
  <r>
    <m/>
    <s v="FLOODING"/>
    <n v="6"/>
    <m/>
    <x v="1"/>
    <x v="57"/>
    <s v="Barangay road_x000a_City road"/>
    <n v="2600000"/>
    <n v="5.9688800000000004"/>
    <n v="5.9688784000000004"/>
    <n v="15519083.840000002"/>
    <n v="0.99999973194301106"/>
    <n v="5"/>
    <m/>
    <n v="0.51272665456000011"/>
    <n v="8.5900000000000004E-2"/>
    <n v="2"/>
    <n v="5.4561517454400006"/>
    <n v="0.91410000000000002"/>
    <n v="5"/>
    <n v="3.5"/>
    <m/>
    <n v="4.2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1590909090909092"/>
    <s v="MEDIUM LOW"/>
    <n v="1"/>
    <n v="6"/>
    <s v="MODERATE RISK"/>
  </r>
  <r>
    <m/>
    <s v="FLOODING"/>
    <n v="6"/>
    <m/>
    <x v="0"/>
    <x v="58"/>
    <s v="Barangay road_x000a_City road_x000a_National road"/>
    <n v="5200000"/>
    <n v="0.90195999999999987"/>
    <n v="0.90196040000000011"/>
    <n v="4690194.080000001"/>
    <n v="1.0000004434786467"/>
    <n v="5"/>
    <m/>
    <n v="0.71462322492000008"/>
    <n v="0.7923"/>
    <n v="5"/>
    <n v="0.18733717508000003"/>
    <n v="0.2077"/>
    <n v="3"/>
    <n v="4"/>
    <m/>
    <n v="4.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272727272727273"/>
    <s v="MEDIUM LOW"/>
    <n v="3"/>
    <n v="18"/>
    <s v="HIGH RISK"/>
  </r>
  <r>
    <m/>
    <s v="FLOODING"/>
    <n v="6"/>
    <m/>
    <x v="2"/>
    <x v="59"/>
    <s v="Barangay road_x000a_Provincial road"/>
    <n v="2600000"/>
    <n v="35.805550000000004"/>
    <n v="0.96111210000000002"/>
    <n v="2498891.46"/>
    <n v="2.6842545359588105E-2"/>
    <n v="1"/>
    <m/>
    <n v="0"/>
    <n v="0"/>
    <n v="1"/>
    <n v="0.96111210000000002"/>
    <n v="1"/>
    <n v="5"/>
    <n v="3"/>
    <m/>
    <n v="2"/>
    <s v="LOW"/>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0.54545454545454553"/>
    <s v="LOW"/>
    <n v="1"/>
    <n v="6"/>
    <s v="MODERATE RISK"/>
  </r>
  <r>
    <m/>
    <s v="FLOODING"/>
    <n v="6"/>
    <m/>
    <x v="0"/>
    <x v="60"/>
    <s v="Barangay road_x000a_City road"/>
    <n v="2600000"/>
    <n v="7.5422400000000005"/>
    <n v="7.5422371800000008"/>
    <n v="19609816.668000001"/>
    <n v="0.99999962610577231"/>
    <n v="5"/>
    <m/>
    <n v="5.1324924009900004"/>
    <n v="0.68049999999999999"/>
    <n v="5"/>
    <n v="2.4097447790100004"/>
    <n v="0.31950000000000001"/>
    <n v="4"/>
    <n v="4.5"/>
    <m/>
    <n v="4.7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954545454545454"/>
    <s v="MEDIUM LOW"/>
    <n v="3"/>
    <n v="18"/>
    <s v="HIGH RISK"/>
  </r>
  <r>
    <m/>
    <s v="FLOODING"/>
    <n v="6"/>
    <m/>
    <x v="0"/>
    <x v="61"/>
    <s v="Barangay road_x000a_City road"/>
    <n v="2600000"/>
    <n v="3.3693600000000004"/>
    <n v="3.3693574999999996"/>
    <n v="8760329.4999999981"/>
    <n v="0.99999925801932688"/>
    <n v="5"/>
    <m/>
    <n v="2.2224282069999997"/>
    <n v="0.65959999999999996"/>
    <n v="5"/>
    <n v="1.1469292929999999"/>
    <n v="0.34040000000000004"/>
    <n v="4"/>
    <n v="4.5"/>
    <m/>
    <n v="4.7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954545454545454"/>
    <s v="MEDIUM LOW"/>
    <n v="3"/>
    <n v="18"/>
    <s v="HIGH RISK"/>
  </r>
  <r>
    <m/>
    <s v="FLOODING"/>
    <n v="6"/>
    <m/>
    <x v="1"/>
    <x v="62"/>
    <s v="Barangay road_x000a_City road"/>
    <n v="2600000"/>
    <n v="14.308109"/>
    <n v="14.308046399999998"/>
    <n v="37200920.639999993"/>
    <n v="0.99999562485860283"/>
    <n v="5"/>
    <m/>
    <n v="1.47945199776"/>
    <n v="0.10340000000000001"/>
    <n v="2"/>
    <n v="12.828594402239998"/>
    <n v="0.89659999999999995"/>
    <n v="5"/>
    <n v="3.5"/>
    <m/>
    <n v="4.2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1590909090909092"/>
    <s v="MEDIUM LOW"/>
    <n v="1"/>
    <n v="6"/>
    <s v="MODERATE RISK"/>
  </r>
  <r>
    <m/>
    <s v="FLOODING"/>
    <n v="6"/>
    <m/>
    <x v="1"/>
    <x v="63"/>
    <s v="Barangay road_x000a_City road"/>
    <n v="2600000"/>
    <n v="3.0484979999999999"/>
    <n v="3.0484999999999998"/>
    <n v="7926099.9999999991"/>
    <n v="1.0000006560607879"/>
    <n v="5"/>
    <m/>
    <n v="0.74109035000000001"/>
    <n v="0.24310000000000001"/>
    <n v="3"/>
    <n v="2.3074096499999999"/>
    <n v="0.75690000000000002"/>
    <n v="5"/>
    <n v="4"/>
    <m/>
    <n v="4.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272727272727273"/>
    <s v="MEDIUM LOW"/>
    <n v="1"/>
    <n v="6"/>
    <s v="MODERATE RISK"/>
  </r>
  <r>
    <m/>
    <s v="FLOODING"/>
    <n v="6"/>
    <m/>
    <x v="2"/>
    <x v="64"/>
    <s v="Barangay road_x000a_National road"/>
    <n v="5200000"/>
    <n v="14.91145"/>
    <n v="2.748516"/>
    <n v="14292283.199999999"/>
    <n v="0.18432251726022619"/>
    <n v="3"/>
    <m/>
    <n v="0.65002403399999997"/>
    <n v="0.23649999999999999"/>
    <n v="3"/>
    <n v="2.0984919660000001"/>
    <n v="0.76350000000000007"/>
    <n v="5"/>
    <n v="4"/>
    <m/>
    <n v="3.5"/>
    <s v="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0.95454545454545459"/>
    <s v="LOW"/>
    <n v="1"/>
    <n v="6"/>
    <s v="MODERATE RISK"/>
  </r>
  <r>
    <m/>
    <s v="FLOODING"/>
    <n v="6"/>
    <m/>
    <x v="2"/>
    <x v="65"/>
    <s v="Barangay road"/>
    <n v="2600000"/>
    <n v="20.832799999999999"/>
    <n v="17.388847000000002"/>
    <n v="45211002.200000003"/>
    <n v="0.83468602396221359"/>
    <n v="5"/>
    <m/>
    <n v="0"/>
    <n v="0"/>
    <n v="1"/>
    <n v="17.388847000000002"/>
    <n v="1"/>
    <n v="5"/>
    <n v="3"/>
    <m/>
    <n v="4"/>
    <s v="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0909090909090911"/>
    <s v="MEDIUM LOW"/>
    <n v="1"/>
    <n v="6"/>
    <s v="MODERATE RISK"/>
  </r>
  <r>
    <m/>
    <s v="FLOODING"/>
    <n v="6"/>
    <m/>
    <x v="1"/>
    <x v="66"/>
    <s v="Barangay road_x000a_Private road_x000a_Provincial road"/>
    <n v="2600000"/>
    <n v="21.383389000000001"/>
    <n v="13.658362"/>
    <n v="35511741.200000003"/>
    <n v="0.63873701217332757"/>
    <n v="5"/>
    <m/>
    <n v="1.1117906667999999"/>
    <n v="8.14E-2"/>
    <n v="2"/>
    <n v="12.546571333200001"/>
    <n v="0.91860000000000008"/>
    <n v="5"/>
    <n v="3.5"/>
    <m/>
    <n v="4.2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1590909090909092"/>
    <s v="MEDIUM LOW"/>
    <n v="1"/>
    <n v="6"/>
    <s v="MODERATE RISK"/>
  </r>
  <r>
    <m/>
    <s v="FLOODING"/>
    <n v="6"/>
    <m/>
    <x v="0"/>
    <x v="67"/>
    <s v="City road"/>
    <n v="2600000"/>
    <n v="0.95994999999999997"/>
    <n v="0.95995000000000008"/>
    <n v="2495870"/>
    <n v="1.0000000000000002"/>
    <n v="5"/>
    <m/>
    <n v="0.95995000000000008"/>
    <n v="1"/>
    <n v="5"/>
    <n v="0"/>
    <n v="0"/>
    <n v="1"/>
    <n v="3"/>
    <m/>
    <n v="4"/>
    <s v="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0909090909090911"/>
    <s v="MEDIUM LOW"/>
    <n v="3"/>
    <n v="18"/>
    <s v="HIGH RISK"/>
  </r>
  <r>
    <m/>
    <s v="FLOODING"/>
    <n v="6"/>
    <m/>
    <x v="2"/>
    <x v="68"/>
    <s v="Barangay road"/>
    <n v="2600000"/>
    <n v="10.6271"/>
    <n v="4.6983800000000002"/>
    <n v="12215788"/>
    <n v="0.44211308823667794"/>
    <n v="4"/>
    <m/>
    <n v="0.141421238"/>
    <n v="3.0099999999999998E-2"/>
    <n v="1"/>
    <n v="4.5569587619999998"/>
    <n v="0.96989999999999987"/>
    <n v="5"/>
    <n v="3"/>
    <m/>
    <n v="3.5"/>
    <s v="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0.95454545454545459"/>
    <s v="LOW"/>
    <n v="1"/>
    <n v="6"/>
    <s v="MODERATE RISK"/>
  </r>
  <r>
    <m/>
    <s v="FLOODING"/>
    <n v="6"/>
    <m/>
    <x v="0"/>
    <x v="69"/>
    <s v="Barangay road_x000a_City road"/>
    <n v="2600000"/>
    <n v="1.9087670000000001"/>
    <n v="1.9087689999999999"/>
    <n v="4962799.3999999994"/>
    <n v="1.0000010477968237"/>
    <n v="5"/>
    <m/>
    <n v="1.5375134294999999"/>
    <n v="0.80549999999999999"/>
    <n v="5"/>
    <n v="0.37125557050000002"/>
    <n v="0.19450000000000001"/>
    <n v="3"/>
    <n v="4"/>
    <m/>
    <n v="4.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272727272727273"/>
    <s v="MEDIUM LOW"/>
    <n v="3"/>
    <n v="18"/>
    <s v="HIGH RISK"/>
  </r>
  <r>
    <m/>
    <s v="FLOODING"/>
    <n v="6"/>
    <m/>
    <x v="2"/>
    <x v="70"/>
    <s v="Barangay road_x000a_National road"/>
    <n v="5200000"/>
    <n v="7.6228899999999999"/>
    <n v="0.86441069999999998"/>
    <n v="4494935.6399999997"/>
    <n v="0.11339671699316138"/>
    <n v="2"/>
    <m/>
    <n v="2.135094429E-2"/>
    <n v="2.47E-2"/>
    <n v="1"/>
    <n v="0.84305975571000002"/>
    <n v="0.97530000000000006"/>
    <n v="5"/>
    <n v="3"/>
    <m/>
    <n v="2.5"/>
    <s v="MODERATE"/>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0.68181818181818188"/>
    <s v="LOW"/>
    <n v="1"/>
    <n v="6"/>
    <s v="MODERATE RISK"/>
  </r>
  <r>
    <m/>
    <s v="FLOODING"/>
    <n v="6"/>
    <m/>
    <x v="1"/>
    <x v="71"/>
    <s v="Barangay road_x000a_City road_x000a_National road"/>
    <n v="5200000"/>
    <n v="41.404899999999998"/>
    <n v="41.404898000000003"/>
    <n v="215305469.60000002"/>
    <n v="0.99999995169653844"/>
    <n v="5"/>
    <m/>
    <n v="1.9708731448000003"/>
    <n v="4.7600000000000003E-2"/>
    <n v="1"/>
    <n v="39.434024855200001"/>
    <n v="0.95239999999999991"/>
    <n v="5"/>
    <n v="3"/>
    <m/>
    <n v="4"/>
    <s v="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0909090909090911"/>
    <s v="MEDIUM LOW"/>
    <n v="1"/>
    <n v="6"/>
    <s v="MODERATE RISK"/>
  </r>
  <r>
    <m/>
    <s v="FLOODING"/>
    <n v="6"/>
    <m/>
    <x v="1"/>
    <x v="72"/>
    <s v="Barangay road_x000a_NIA_x000a_National road"/>
    <n v="5200000"/>
    <n v="14.86323"/>
    <n v="13.356400000000001"/>
    <n v="69453280"/>
    <n v="0.89862028643841219"/>
    <n v="5"/>
    <m/>
    <n v="1.6268095200000001"/>
    <n v="0.12180000000000001"/>
    <n v="2"/>
    <n v="11.729590480000001"/>
    <n v="0.87819999999999998"/>
    <n v="5"/>
    <n v="3.5"/>
    <m/>
    <n v="4.2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1590909090909092"/>
    <s v="MEDIUM LOW"/>
    <n v="1"/>
    <n v="6"/>
    <s v="MODERATE RISK"/>
  </r>
  <r>
    <m/>
    <s v="FLOODING"/>
    <n v="6"/>
    <m/>
    <x v="0"/>
    <x v="73"/>
    <s v="Barangay road_x000a_City road_x000a_National road"/>
    <n v="5200000"/>
    <n v="1.6084234000000002"/>
    <n v="1.6084234000000002"/>
    <n v="8363801.6800000006"/>
    <n v="1"/>
    <n v="5"/>
    <m/>
    <n v="1.6084234000000002"/>
    <n v="1"/>
    <n v="5"/>
    <n v="0"/>
    <n v="0"/>
    <n v="1"/>
    <n v="3"/>
    <m/>
    <n v="4"/>
    <s v="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0909090909090911"/>
    <s v="MEDIUM LOW"/>
    <n v="3"/>
    <n v="18"/>
    <s v="HIGH RISK"/>
  </r>
  <r>
    <m/>
    <s v="FLOODING"/>
    <n v="6"/>
    <m/>
    <x v="0"/>
    <x v="74"/>
    <s v="Barangay road_x000a_City road_x000a_National road"/>
    <n v="5200000"/>
    <n v="1.2039124999999999"/>
    <n v="1.2039122999999998"/>
    <n v="6260343.959999999"/>
    <n v="0.99999983387497005"/>
    <n v="5"/>
    <m/>
    <n v="1.2039122999999998"/>
    <n v="1"/>
    <n v="5"/>
    <n v="0"/>
    <n v="0"/>
    <n v="1"/>
    <n v="3"/>
    <m/>
    <n v="4"/>
    <s v="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0909090909090911"/>
    <s v="MEDIUM LOW"/>
    <n v="3"/>
    <n v="18"/>
    <s v="HIGH RISK"/>
  </r>
  <r>
    <m/>
    <s v="FLOODING"/>
    <n v="6"/>
    <m/>
    <x v="2"/>
    <x v="75"/>
    <s v="Barangay road"/>
    <n v="2600000"/>
    <n v="13.2149"/>
    <n v="0.42512260000000002"/>
    <n v="1105318.76"/>
    <n v="3.2169944532308231E-2"/>
    <n v="1"/>
    <m/>
    <n v="0"/>
    <n v="0"/>
    <n v="1"/>
    <n v="0.42512260000000002"/>
    <n v="1"/>
    <n v="5"/>
    <n v="3"/>
    <m/>
    <n v="2"/>
    <s v="LOW"/>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0.54545454545454553"/>
    <s v="LOW"/>
    <n v="1"/>
    <n v="6"/>
    <s v="MODERATE RISK"/>
  </r>
  <r>
    <m/>
    <s v="FLOODING"/>
    <n v="6"/>
    <m/>
    <x v="1"/>
    <x v="76"/>
    <s v="Barangay road_x000a_National road"/>
    <n v="5200000"/>
    <n v="15.4915"/>
    <n v="14.591099999999999"/>
    <n v="75873720"/>
    <n v="0.9418778039570086"/>
    <n v="5"/>
    <m/>
    <n v="4.3773299999999997"/>
    <n v="0.3"/>
    <n v="3"/>
    <n v="10.21377"/>
    <n v="0.70000000000000007"/>
    <n v="5"/>
    <n v="4"/>
    <m/>
    <n v="4.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272727272727273"/>
    <s v="MEDIUM LOW"/>
    <n v="1"/>
    <n v="6"/>
    <s v="MODERATE RISK"/>
  </r>
  <r>
    <m/>
    <s v="FLOODING"/>
    <n v="6"/>
    <m/>
    <x v="1"/>
    <x v="77"/>
    <s v="Barangay road"/>
    <n v="2600000"/>
    <n v="16.7117"/>
    <n v="15.866410699999999"/>
    <n v="41252667.82"/>
    <n v="0.94941931102161947"/>
    <n v="5"/>
    <m/>
    <n v="0.25068928906000004"/>
    <n v="1.5800000000000002E-2"/>
    <n v="1"/>
    <n v="15.615721410939999"/>
    <n v="0.98419999999999996"/>
    <n v="5"/>
    <n v="3"/>
    <m/>
    <n v="4"/>
    <s v="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0909090909090911"/>
    <s v="MEDIUM LOW"/>
    <n v="1"/>
    <n v="6"/>
    <s v="MODERATE RISK"/>
  </r>
  <r>
    <m/>
    <s v="FLOODING"/>
    <n v="6"/>
    <m/>
    <x v="1"/>
    <x v="78"/>
    <s v="Barangay road_x000a_National road"/>
    <n v="5200000"/>
    <n v="14.4847"/>
    <n v="11.908380000000001"/>
    <n v="61923576.000000007"/>
    <n v="0.82213508046421402"/>
    <n v="5"/>
    <m/>
    <n v="0.67044179400000015"/>
    <n v="5.6300000000000003E-2"/>
    <n v="2"/>
    <n v="11.237938206000001"/>
    <n v="0.94369999999999998"/>
    <n v="5"/>
    <n v="3.5"/>
    <m/>
    <n v="4.2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1590909090909092"/>
    <s v="MEDIUM LOW"/>
    <n v="1"/>
    <n v="6"/>
    <s v="MODERATE RISK"/>
  </r>
  <r>
    <m/>
    <s v="FLOODING"/>
    <n v="6"/>
    <m/>
    <x v="2"/>
    <x v="79"/>
    <s v="Barangay road_x000a_National road"/>
    <n v="5200000"/>
    <n v="6.0572499999999998"/>
    <n v="3.5296000000000003"/>
    <n v="18353920"/>
    <n v="0.58270667382062824"/>
    <n v="5"/>
    <m/>
    <n v="1.24912544"/>
    <n v="0.35389999999999999"/>
    <n v="4"/>
    <n v="2.28047456"/>
    <n v="0.64610000000000001"/>
    <n v="5"/>
    <n v="4.5"/>
    <m/>
    <n v="4.7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954545454545454"/>
    <s v="MEDIUM LOW"/>
    <n v="1"/>
    <n v="6"/>
    <s v="MODERATE RISK"/>
  </r>
  <r>
    <m/>
    <s v="FLOODING"/>
    <n v="6"/>
    <m/>
    <x v="0"/>
    <x v="80"/>
    <s v="Barangay road_x000a_City road_x000a_National road"/>
    <n v="5200000"/>
    <n v="4.9821840000000002"/>
    <n v="4.9821843000000001"/>
    <n v="25907358.359999999"/>
    <n v="1.0000000602145565"/>
    <n v="5"/>
    <m/>
    <n v="2.2295274742500002"/>
    <n v="0.44750000000000001"/>
    <n v="4"/>
    <n v="2.7526568257499999"/>
    <n v="0.55249999999999999"/>
    <n v="5"/>
    <n v="4.5"/>
    <m/>
    <n v="4.7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954545454545454"/>
    <s v="MEDIUM LOW"/>
    <n v="3"/>
    <n v="18"/>
    <s v="HIGH RISK"/>
  </r>
  <r>
    <m/>
    <s v="FLOODING"/>
    <n v="6"/>
    <m/>
    <x v="1"/>
    <x v="81"/>
    <s v="Barangay road_x000a_City road"/>
    <n v="2600000"/>
    <n v="13.040481"/>
    <n v="13.040467599999999"/>
    <n v="33905215.759999998"/>
    <n v="0.99999897243054148"/>
    <n v="5"/>
    <m/>
    <n v="3.7843436975200002"/>
    <n v="0.29020000000000001"/>
    <n v="3"/>
    <n v="9.2561239024799988"/>
    <n v="0.70979999999999999"/>
    <n v="5"/>
    <n v="4"/>
    <m/>
    <n v="4.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2272727272727273"/>
    <s v="MEDIUM LOW"/>
    <n v="1"/>
    <n v="6"/>
    <s v="MODERATE RISK"/>
  </r>
  <r>
    <m/>
    <s v="FLOODING"/>
    <n v="6"/>
    <m/>
    <x v="2"/>
    <x v="82"/>
    <s v="Barangay road_x000a_National road"/>
    <n v="5200000"/>
    <n v="68.172290000000004"/>
    <n v="8.4433990000000012"/>
    <n v="43905674.800000004"/>
    <n v="0.12385382682611953"/>
    <n v="2"/>
    <m/>
    <n v="0.45087750660000009"/>
    <n v="5.3400000000000003E-2"/>
    <n v="2"/>
    <n v="7.9925214934000008"/>
    <n v="0.9466"/>
    <n v="5"/>
    <n v="3.5"/>
    <m/>
    <n v="2.75"/>
    <s v="MODERATE"/>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0.75"/>
    <s v="LOW"/>
    <n v="1"/>
    <n v="6"/>
    <s v="MODERATE RISK"/>
  </r>
  <r>
    <m/>
    <s v="FLOODING"/>
    <n v="6"/>
    <m/>
    <x v="0"/>
    <x v="83"/>
    <s v="Barangay road_x000a_City road_x000a_National road"/>
    <n v="5200000"/>
    <n v="1.2714216"/>
    <n v="1.2714226"/>
    <n v="6611397.5199999996"/>
    <n v="1.0000007865211664"/>
    <n v="5"/>
    <m/>
    <n v="1.2714226"/>
    <n v="1"/>
    <n v="5"/>
    <n v="0"/>
    <n v="0"/>
    <n v="1"/>
    <n v="3"/>
    <m/>
    <n v="4"/>
    <s v="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0909090909090911"/>
    <s v="MEDIUM LOW"/>
    <n v="3"/>
    <n v="18"/>
    <s v="HIGH RISK"/>
  </r>
  <r>
    <m/>
    <s v="FLOODING"/>
    <n v="6"/>
    <m/>
    <x v="1"/>
    <x v="84"/>
    <s v="Barangay road_x000a_City road_x000a_National road"/>
    <n v="5200000"/>
    <n v="40.996480000000005"/>
    <n v="40.996442999999999"/>
    <n v="213181503.59999999"/>
    <n v="0.99999909748349114"/>
    <n v="5"/>
    <m/>
    <n v="5.1491532407999996"/>
    <n v="0.12559999999999999"/>
    <n v="2"/>
    <n v="35.847289759200002"/>
    <n v="0.87440000000000007"/>
    <n v="5"/>
    <n v="3.5"/>
    <m/>
    <n v="4.25"/>
    <s v="VERY HIGH"/>
    <s v="-5% Calamity fund_x000a_-Brgy. IRA_x000a_"/>
    <n v="4"/>
    <s v="-Equipment and supplies for emergency are available"/>
    <n v="2"/>
    <s v="-There is political willingness to allocate resources to build adaptive capacity of LGU"/>
    <n v="4"/>
    <s v="-Information Education Campaign_x000a_-Alert Level"/>
    <n v="4"/>
    <s v="-BDRRM Rescue team available _x000a_-Disaster Plan"/>
    <n v="4"/>
    <s v="-Seawalls_x000a_-Floodwalls_x000a_-Dikes/Levees_x000a_-Coastal Roads"/>
    <n v="4"/>
    <n v="3.6666666666666665"/>
    <m/>
    <n v="1.1590909090909092"/>
    <s v="MEDIUM LOW"/>
    <n v="1"/>
    <n v="6"/>
    <s v="MODERATE RISK"/>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6EE25B1-3F7A-4425-927C-1CF1AD74E6A4}" name="PivotTable11" cacheId="59"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E93" firstHeaderRow="0" firstDataRow="1" firstDataCol="1"/>
  <pivotFields count="43">
    <pivotField showAll="0"/>
    <pivotField showAll="0"/>
    <pivotField showAll="0"/>
    <pivotField showAll="0"/>
    <pivotField axis="axisRow" showAll="0">
      <items count="5">
        <item x="3"/>
        <item x="1"/>
        <item x="2"/>
        <item x="0"/>
        <item t="default"/>
      </items>
    </pivotField>
    <pivotField axis="axisRow" showAll="0" defaultSubtotal="0">
      <items count="8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s>
    </pivotField>
    <pivotField showAll="0"/>
    <pivotField numFmtId="43" showAll="0"/>
    <pivotField dataField="1" numFmtId="164" showAll="0"/>
    <pivotField dataField="1" showAll="0"/>
    <pivotField numFmtId="43" showAll="0"/>
    <pivotField numFmtId="10" showAll="0"/>
    <pivotField showAll="0"/>
    <pivotField showAll="0"/>
    <pivotField dataField="1" numFmtId="164" showAll="0"/>
    <pivotField numFmtId="10" showAll="0"/>
    <pivotField showAll="0"/>
    <pivotField dataField="1" numFmtId="164" showAll="0"/>
    <pivotField numFmtId="10" showAll="0"/>
    <pivotField showAll="0"/>
    <pivotField numFmtId="2" showAll="0"/>
    <pivotField showAll="0"/>
    <pivotField numFmtId="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2" showAll="0"/>
    <pivotField showAll="0"/>
    <pivotField numFmtId="2" showAll="0"/>
    <pivotField showAll="0"/>
    <pivotField showAll="0"/>
    <pivotField showAll="0"/>
    <pivotField showAll="0"/>
  </pivotFields>
  <rowFields count="2">
    <field x="4"/>
    <field x="5"/>
  </rowFields>
  <rowItems count="90">
    <i>
      <x/>
    </i>
    <i r="1">
      <x v="47"/>
    </i>
    <i r="1">
      <x v="56"/>
    </i>
    <i>
      <x v="1"/>
    </i>
    <i r="1">
      <x v="1"/>
    </i>
    <i r="1">
      <x v="2"/>
    </i>
    <i r="1">
      <x v="4"/>
    </i>
    <i r="1">
      <x v="6"/>
    </i>
    <i r="1">
      <x v="8"/>
    </i>
    <i r="1">
      <x v="10"/>
    </i>
    <i r="1">
      <x v="12"/>
    </i>
    <i r="1">
      <x v="13"/>
    </i>
    <i r="1">
      <x v="14"/>
    </i>
    <i r="1">
      <x v="15"/>
    </i>
    <i r="1">
      <x v="20"/>
    </i>
    <i r="1">
      <x v="21"/>
    </i>
    <i r="1">
      <x v="24"/>
    </i>
    <i r="1">
      <x v="31"/>
    </i>
    <i r="1">
      <x v="40"/>
    </i>
    <i r="1">
      <x v="42"/>
    </i>
    <i r="1">
      <x v="44"/>
    </i>
    <i r="1">
      <x v="46"/>
    </i>
    <i r="1">
      <x v="50"/>
    </i>
    <i r="1">
      <x v="57"/>
    </i>
    <i r="1">
      <x v="62"/>
    </i>
    <i r="1">
      <x v="63"/>
    </i>
    <i r="1">
      <x v="66"/>
    </i>
    <i r="1">
      <x v="71"/>
    </i>
    <i r="1">
      <x v="72"/>
    </i>
    <i r="1">
      <x v="76"/>
    </i>
    <i r="1">
      <x v="77"/>
    </i>
    <i r="1">
      <x v="78"/>
    </i>
    <i r="1">
      <x v="81"/>
    </i>
    <i r="1">
      <x v="84"/>
    </i>
    <i>
      <x v="2"/>
    </i>
    <i r="1">
      <x v="3"/>
    </i>
    <i r="1">
      <x v="5"/>
    </i>
    <i r="1">
      <x v="7"/>
    </i>
    <i r="1">
      <x v="17"/>
    </i>
    <i r="1">
      <x v="18"/>
    </i>
    <i r="1">
      <x v="19"/>
    </i>
    <i r="1">
      <x v="22"/>
    </i>
    <i r="1">
      <x v="25"/>
    </i>
    <i r="1">
      <x v="27"/>
    </i>
    <i r="1">
      <x v="28"/>
    </i>
    <i r="1">
      <x v="30"/>
    </i>
    <i r="1">
      <x v="32"/>
    </i>
    <i r="1">
      <x v="33"/>
    </i>
    <i r="1">
      <x v="48"/>
    </i>
    <i r="1">
      <x v="49"/>
    </i>
    <i r="1">
      <x v="52"/>
    </i>
    <i r="1">
      <x v="53"/>
    </i>
    <i r="1">
      <x v="54"/>
    </i>
    <i r="1">
      <x v="59"/>
    </i>
    <i r="1">
      <x v="64"/>
    </i>
    <i r="1">
      <x v="65"/>
    </i>
    <i r="1">
      <x v="68"/>
    </i>
    <i r="1">
      <x v="70"/>
    </i>
    <i r="1">
      <x v="75"/>
    </i>
    <i r="1">
      <x v="79"/>
    </i>
    <i r="1">
      <x v="82"/>
    </i>
    <i>
      <x v="3"/>
    </i>
    <i r="1">
      <x/>
    </i>
    <i r="1">
      <x v="9"/>
    </i>
    <i r="1">
      <x v="11"/>
    </i>
    <i r="1">
      <x v="16"/>
    </i>
    <i r="1">
      <x v="23"/>
    </i>
    <i r="1">
      <x v="26"/>
    </i>
    <i r="1">
      <x v="29"/>
    </i>
    <i r="1">
      <x v="34"/>
    </i>
    <i r="1">
      <x v="35"/>
    </i>
    <i r="1">
      <x v="36"/>
    </i>
    <i r="1">
      <x v="37"/>
    </i>
    <i r="1">
      <x v="38"/>
    </i>
    <i r="1">
      <x v="39"/>
    </i>
    <i r="1">
      <x v="41"/>
    </i>
    <i r="1">
      <x v="43"/>
    </i>
    <i r="1">
      <x v="45"/>
    </i>
    <i r="1">
      <x v="51"/>
    </i>
    <i r="1">
      <x v="55"/>
    </i>
    <i r="1">
      <x v="58"/>
    </i>
    <i r="1">
      <x v="60"/>
    </i>
    <i r="1">
      <x v="61"/>
    </i>
    <i r="1">
      <x v="67"/>
    </i>
    <i r="1">
      <x v="69"/>
    </i>
    <i r="1">
      <x v="73"/>
    </i>
    <i r="1">
      <x v="74"/>
    </i>
    <i r="1">
      <x v="80"/>
    </i>
    <i r="1">
      <x v="83"/>
    </i>
    <i t="grand">
      <x/>
    </i>
  </rowItems>
  <colFields count="1">
    <field x="-2"/>
  </colFields>
  <colItems count="4">
    <i>
      <x/>
    </i>
    <i i="1">
      <x v="1"/>
    </i>
    <i i="2">
      <x v="2"/>
    </i>
    <i i="3">
      <x v="3"/>
    </i>
  </colItems>
  <dataFields count="4">
    <dataField name="Max of Road Length" fld="8" subtotal="max" baseField="4" baseItem="0"/>
    <dataField name="Max of Exposed Length (Linear Kilometer)" fld="9" subtotal="max" baseField="4" baseItem="0"/>
    <dataField name="Max of Exposed Cemented/Asphalt Road" fld="14" subtotal="max" baseField="4" baseItem="0"/>
    <dataField name="Max of Exposed Rough Roads" fld="17" subtotal="max" baseField="4"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23EDF7F-F1E8-476F-8045-AEDBD6DBEFFE}" name="PivotTable11" cacheId="59"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D93" firstHeaderRow="0" firstDataRow="1" firstDataCol="1"/>
  <pivotFields count="43">
    <pivotField showAll="0"/>
    <pivotField showAll="0"/>
    <pivotField showAll="0"/>
    <pivotField showAll="0"/>
    <pivotField axis="axisRow" showAll="0">
      <items count="5">
        <item x="3"/>
        <item x="1"/>
        <item x="2"/>
        <item x="0"/>
        <item t="default"/>
      </items>
    </pivotField>
    <pivotField axis="axisRow" showAll="0" defaultSubtotal="0">
      <items count="8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s>
    </pivotField>
    <pivotField showAll="0"/>
    <pivotField numFmtId="43" showAll="0"/>
    <pivotField numFmtId="164" showAll="0"/>
    <pivotField showAll="0"/>
    <pivotField numFmtId="43" showAll="0"/>
    <pivotField numFmtId="10" showAll="0"/>
    <pivotField showAll="0"/>
    <pivotField showAll="0"/>
    <pivotField numFmtId="164" showAll="0"/>
    <pivotField numFmtId="10" showAll="0"/>
    <pivotField showAll="0"/>
    <pivotField numFmtId="164" showAll="0"/>
    <pivotField numFmtId="10" showAll="0"/>
    <pivotField showAll="0"/>
    <pivotField numFmtId="2" showAll="0"/>
    <pivotField showAll="0"/>
    <pivotField dataField="1" numFmtId="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2" showAll="0"/>
    <pivotField showAll="0"/>
    <pivotField numFmtId="2" showAll="0"/>
    <pivotField showAll="0"/>
    <pivotField showAll="0"/>
    <pivotField dataField="1" showAll="0"/>
    <pivotField showAll="0"/>
  </pivotFields>
  <rowFields count="2">
    <field x="4"/>
    <field x="5"/>
  </rowFields>
  <rowItems count="90">
    <i>
      <x/>
    </i>
    <i r="1">
      <x v="47"/>
    </i>
    <i r="1">
      <x v="56"/>
    </i>
    <i>
      <x v="1"/>
    </i>
    <i r="1">
      <x v="1"/>
    </i>
    <i r="1">
      <x v="2"/>
    </i>
    <i r="1">
      <x v="4"/>
    </i>
    <i r="1">
      <x v="6"/>
    </i>
    <i r="1">
      <x v="8"/>
    </i>
    <i r="1">
      <x v="10"/>
    </i>
    <i r="1">
      <x v="12"/>
    </i>
    <i r="1">
      <x v="13"/>
    </i>
    <i r="1">
      <x v="14"/>
    </i>
    <i r="1">
      <x v="15"/>
    </i>
    <i r="1">
      <x v="20"/>
    </i>
    <i r="1">
      <x v="21"/>
    </i>
    <i r="1">
      <x v="24"/>
    </i>
    <i r="1">
      <x v="31"/>
    </i>
    <i r="1">
      <x v="40"/>
    </i>
    <i r="1">
      <x v="42"/>
    </i>
    <i r="1">
      <x v="44"/>
    </i>
    <i r="1">
      <x v="46"/>
    </i>
    <i r="1">
      <x v="50"/>
    </i>
    <i r="1">
      <x v="57"/>
    </i>
    <i r="1">
      <x v="62"/>
    </i>
    <i r="1">
      <x v="63"/>
    </i>
    <i r="1">
      <x v="66"/>
    </i>
    <i r="1">
      <x v="71"/>
    </i>
    <i r="1">
      <x v="72"/>
    </i>
    <i r="1">
      <x v="76"/>
    </i>
    <i r="1">
      <x v="77"/>
    </i>
    <i r="1">
      <x v="78"/>
    </i>
    <i r="1">
      <x v="81"/>
    </i>
    <i r="1">
      <x v="84"/>
    </i>
    <i>
      <x v="2"/>
    </i>
    <i r="1">
      <x v="3"/>
    </i>
    <i r="1">
      <x v="5"/>
    </i>
    <i r="1">
      <x v="7"/>
    </i>
    <i r="1">
      <x v="17"/>
    </i>
    <i r="1">
      <x v="18"/>
    </i>
    <i r="1">
      <x v="19"/>
    </i>
    <i r="1">
      <x v="22"/>
    </i>
    <i r="1">
      <x v="25"/>
    </i>
    <i r="1">
      <x v="27"/>
    </i>
    <i r="1">
      <x v="28"/>
    </i>
    <i r="1">
      <x v="30"/>
    </i>
    <i r="1">
      <x v="32"/>
    </i>
    <i r="1">
      <x v="33"/>
    </i>
    <i r="1">
      <x v="48"/>
    </i>
    <i r="1">
      <x v="49"/>
    </i>
    <i r="1">
      <x v="52"/>
    </i>
    <i r="1">
      <x v="53"/>
    </i>
    <i r="1">
      <x v="54"/>
    </i>
    <i r="1">
      <x v="59"/>
    </i>
    <i r="1">
      <x v="64"/>
    </i>
    <i r="1">
      <x v="65"/>
    </i>
    <i r="1">
      <x v="68"/>
    </i>
    <i r="1">
      <x v="70"/>
    </i>
    <i r="1">
      <x v="75"/>
    </i>
    <i r="1">
      <x v="79"/>
    </i>
    <i r="1">
      <x v="82"/>
    </i>
    <i>
      <x v="3"/>
    </i>
    <i r="1">
      <x/>
    </i>
    <i r="1">
      <x v="9"/>
    </i>
    <i r="1">
      <x v="11"/>
    </i>
    <i r="1">
      <x v="16"/>
    </i>
    <i r="1">
      <x v="23"/>
    </i>
    <i r="1">
      <x v="26"/>
    </i>
    <i r="1">
      <x v="29"/>
    </i>
    <i r="1">
      <x v="34"/>
    </i>
    <i r="1">
      <x v="35"/>
    </i>
    <i r="1">
      <x v="36"/>
    </i>
    <i r="1">
      <x v="37"/>
    </i>
    <i r="1">
      <x v="38"/>
    </i>
    <i r="1">
      <x v="39"/>
    </i>
    <i r="1">
      <x v="41"/>
    </i>
    <i r="1">
      <x v="43"/>
    </i>
    <i r="1">
      <x v="45"/>
    </i>
    <i r="1">
      <x v="51"/>
    </i>
    <i r="1">
      <x v="55"/>
    </i>
    <i r="1">
      <x v="58"/>
    </i>
    <i r="1">
      <x v="60"/>
    </i>
    <i r="1">
      <x v="61"/>
    </i>
    <i r="1">
      <x v="67"/>
    </i>
    <i r="1">
      <x v="69"/>
    </i>
    <i r="1">
      <x v="73"/>
    </i>
    <i r="1">
      <x v="74"/>
    </i>
    <i r="1">
      <x v="80"/>
    </i>
    <i r="1">
      <x v="83"/>
    </i>
    <i t="grand">
      <x/>
    </i>
  </rowItems>
  <colFields count="1">
    <field x="-2"/>
  </colFields>
  <colItems count="3">
    <i>
      <x/>
    </i>
    <i i="1">
      <x v="1"/>
    </i>
    <i i="2">
      <x v="2"/>
    </i>
  </colItems>
  <dataFields count="3">
    <dataField name="Average of Degree of Impact" fld="22" subtotal="average" baseField="4" baseItem="0"/>
    <dataField name="Average of Ave. Adaptive Capacity" fld="36" subtotal="average" baseField="4" baseItem="0"/>
    <dataField name="Average of Risk Score" fld="41" subtotal="average" baseField="4"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
  <sheetViews>
    <sheetView zoomScaleNormal="100" workbookViewId="0">
      <pane xSplit="2" ySplit="3" topLeftCell="C4" activePane="bottomRight" state="frozen"/>
      <selection activeCell="A4" sqref="A4:A8"/>
      <selection pane="topRight" activeCell="A4" sqref="A4:A8"/>
      <selection pane="bottomLeft" activeCell="A4" sqref="A4:A8"/>
      <selection pane="bottomRight" activeCell="D11" sqref="D11"/>
    </sheetView>
  </sheetViews>
  <sheetFormatPr defaultColWidth="12.5703125" defaultRowHeight="15.75"/>
  <cols>
    <col min="1" max="1" width="49.5703125" style="71" customWidth="1"/>
    <col min="2" max="2" width="12.5703125" style="71"/>
    <col min="3" max="12" width="9.7109375" style="71" customWidth="1"/>
    <col min="13" max="16384" width="12.5703125" style="71"/>
  </cols>
  <sheetData>
    <row r="1" spans="1:19">
      <c r="A1" s="92" t="s">
        <v>215</v>
      </c>
      <c r="B1" s="92"/>
      <c r="C1" s="92"/>
      <c r="D1" s="92"/>
      <c r="E1" s="92"/>
      <c r="F1" s="92"/>
      <c r="G1" s="92"/>
      <c r="H1" s="92"/>
      <c r="I1" s="92"/>
      <c r="J1" s="92"/>
      <c r="K1" s="92"/>
      <c r="L1" s="92"/>
    </row>
    <row r="2" spans="1:19" ht="39.950000000000003" customHeight="1">
      <c r="A2" s="93" t="s">
        <v>129</v>
      </c>
      <c r="B2" s="93" t="s">
        <v>216</v>
      </c>
      <c r="C2" s="93" t="s">
        <v>217</v>
      </c>
      <c r="D2" s="93"/>
      <c r="E2" s="93"/>
      <c r="F2" s="93"/>
      <c r="G2" s="93"/>
      <c r="H2" s="93"/>
      <c r="I2" s="93"/>
      <c r="J2" s="93"/>
      <c r="K2" s="93"/>
      <c r="L2" s="93"/>
    </row>
    <row r="3" spans="1:19">
      <c r="A3" s="93"/>
      <c r="B3" s="93"/>
      <c r="C3" s="72">
        <v>1</v>
      </c>
      <c r="D3" s="72">
        <v>2</v>
      </c>
      <c r="E3" s="72">
        <v>3</v>
      </c>
      <c r="F3" s="72">
        <v>4</v>
      </c>
      <c r="G3" s="72">
        <v>5</v>
      </c>
      <c r="H3" s="72">
        <v>6</v>
      </c>
      <c r="I3" s="72">
        <v>7</v>
      </c>
      <c r="J3" s="72">
        <v>8</v>
      </c>
      <c r="K3" s="72">
        <v>9</v>
      </c>
      <c r="L3" s="72">
        <v>10</v>
      </c>
      <c r="M3" s="73"/>
      <c r="N3" s="73"/>
      <c r="O3" s="73"/>
      <c r="P3" s="73"/>
      <c r="Q3" s="73"/>
      <c r="R3" s="73"/>
      <c r="S3" s="73"/>
    </row>
    <row r="4" spans="1:19" ht="30.75">
      <c r="A4" s="74" t="s">
        <v>218</v>
      </c>
      <c r="B4" s="75">
        <v>0.2</v>
      </c>
      <c r="C4" s="76"/>
      <c r="D4" s="76"/>
      <c r="E4" s="76"/>
      <c r="F4" s="76"/>
      <c r="G4" s="76"/>
      <c r="H4" s="76"/>
      <c r="I4" s="76"/>
      <c r="J4" s="76"/>
      <c r="K4" s="76"/>
      <c r="L4" s="76"/>
    </row>
    <row r="5" spans="1:19" ht="30.75">
      <c r="A5" s="74" t="s">
        <v>219</v>
      </c>
      <c r="B5" s="77">
        <v>0.2</v>
      </c>
      <c r="C5" s="76"/>
      <c r="D5" s="76"/>
      <c r="E5" s="76"/>
      <c r="F5" s="76"/>
      <c r="G5" s="76"/>
      <c r="H5" s="76"/>
      <c r="I5" s="76"/>
      <c r="J5" s="76"/>
      <c r="K5" s="76"/>
      <c r="L5" s="76"/>
    </row>
    <row r="6" spans="1:19" ht="31.5">
      <c r="A6" s="74" t="s">
        <v>220</v>
      </c>
      <c r="B6" s="77">
        <v>0.2</v>
      </c>
      <c r="C6" s="76"/>
      <c r="D6" s="76"/>
      <c r="E6" s="76"/>
      <c r="F6" s="76"/>
      <c r="G6" s="76"/>
      <c r="H6" s="76"/>
      <c r="I6" s="76"/>
      <c r="J6" s="76"/>
      <c r="K6" s="76"/>
      <c r="L6" s="76"/>
    </row>
    <row r="7" spans="1:19" ht="30">
      <c r="A7" s="78" t="s">
        <v>221</v>
      </c>
      <c r="B7" s="77">
        <v>0.2</v>
      </c>
      <c r="C7" s="76"/>
      <c r="D7" s="76"/>
      <c r="E7" s="76"/>
      <c r="F7" s="76"/>
      <c r="G7" s="76"/>
      <c r="H7" s="76"/>
      <c r="I7" s="76"/>
      <c r="J7" s="76"/>
      <c r="K7" s="76"/>
      <c r="L7" s="76"/>
    </row>
    <row r="8" spans="1:19" ht="47.25">
      <c r="A8" s="74" t="s">
        <v>222</v>
      </c>
      <c r="B8" s="77">
        <v>0.2</v>
      </c>
      <c r="C8" s="76"/>
      <c r="D8" s="76"/>
      <c r="E8" s="76"/>
      <c r="F8" s="76"/>
      <c r="G8" s="76"/>
      <c r="H8" s="76"/>
      <c r="I8" s="76"/>
      <c r="J8" s="76"/>
      <c r="K8" s="76"/>
      <c r="L8" s="76"/>
    </row>
    <row r="9" spans="1:19">
      <c r="B9" s="71">
        <f>SUM(B4:B8)</f>
        <v>1</v>
      </c>
    </row>
  </sheetData>
  <mergeCells count="4">
    <mergeCell ref="A1:L1"/>
    <mergeCell ref="A2:A3"/>
    <mergeCell ref="B2:B3"/>
    <mergeCell ref="C2:L2"/>
  </mergeCells>
  <pageMargins left="0.7" right="0.7" top="0.75" bottom="0.75" header="0.3" footer="0.3"/>
  <pageSetup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08ABD-C2F9-4D91-A657-B47F5778E259}">
  <dimension ref="E3:G97"/>
  <sheetViews>
    <sheetView topLeftCell="A34" workbookViewId="0">
      <selection activeCell="E7" sqref="E7"/>
    </sheetView>
  </sheetViews>
  <sheetFormatPr defaultRowHeight="15"/>
  <cols>
    <col min="4" max="4" width="11.28515625" bestFit="1" customWidth="1"/>
    <col min="5" max="5" width="65.85546875" customWidth="1"/>
    <col min="6" max="6" width="27" customWidth="1"/>
    <col min="7" max="7" width="19.5703125" customWidth="1"/>
  </cols>
  <sheetData>
    <row r="3" spans="5:7">
      <c r="E3" t="s">
        <v>44</v>
      </c>
      <c r="F3" t="s">
        <v>299</v>
      </c>
    </row>
    <row r="4" spans="5:7">
      <c r="E4" t="s">
        <v>45</v>
      </c>
      <c r="F4" t="s">
        <v>299</v>
      </c>
    </row>
    <row r="7" spans="5:7">
      <c r="E7" s="167" t="s">
        <v>314</v>
      </c>
      <c r="F7" t="s">
        <v>315</v>
      </c>
      <c r="G7" s="167"/>
    </row>
    <row r="8" spans="5:7">
      <c r="E8" s="167" t="s">
        <v>34</v>
      </c>
      <c r="F8" t="s">
        <v>315</v>
      </c>
      <c r="G8" s="167"/>
    </row>
    <row r="9" spans="5:7">
      <c r="E9" s="167" t="s">
        <v>233</v>
      </c>
      <c r="F9" t="s">
        <v>315</v>
      </c>
      <c r="G9" s="167"/>
    </row>
    <row r="10" spans="5:7">
      <c r="E10" s="167" t="s">
        <v>235</v>
      </c>
      <c r="F10" t="s">
        <v>315</v>
      </c>
      <c r="G10" s="167"/>
    </row>
    <row r="11" spans="5:7">
      <c r="E11" s="167" t="s">
        <v>237</v>
      </c>
      <c r="F11" t="s">
        <v>315</v>
      </c>
      <c r="G11" s="167"/>
    </row>
    <row r="12" spans="5:7">
      <c r="E12" s="167" t="s">
        <v>35</v>
      </c>
      <c r="F12" t="s">
        <v>315</v>
      </c>
      <c r="G12" s="167"/>
    </row>
    <row r="13" spans="5:7">
      <c r="E13" s="167" t="s">
        <v>37</v>
      </c>
      <c r="F13" t="s">
        <v>315</v>
      </c>
      <c r="G13" s="167"/>
    </row>
    <row r="14" spans="5:7">
      <c r="E14" s="167" t="s">
        <v>38</v>
      </c>
      <c r="F14" t="s">
        <v>315</v>
      </c>
      <c r="G14" s="167"/>
    </row>
    <row r="15" spans="5:7">
      <c r="E15" s="167" t="s">
        <v>39</v>
      </c>
      <c r="F15" t="s">
        <v>315</v>
      </c>
      <c r="G15" s="167"/>
    </row>
    <row r="16" spans="5:7">
      <c r="E16" s="167" t="s">
        <v>239</v>
      </c>
      <c r="F16" t="s">
        <v>315</v>
      </c>
      <c r="G16" s="167"/>
    </row>
    <row r="17" spans="5:7">
      <c r="E17" s="167" t="s">
        <v>40</v>
      </c>
      <c r="F17" t="s">
        <v>315</v>
      </c>
      <c r="G17" s="167"/>
    </row>
    <row r="18" spans="5:7">
      <c r="E18" s="167" t="s">
        <v>244</v>
      </c>
      <c r="F18" t="s">
        <v>315</v>
      </c>
      <c r="G18" s="167"/>
    </row>
    <row r="19" spans="5:7">
      <c r="E19" s="167" t="s">
        <v>247</v>
      </c>
      <c r="F19" t="s">
        <v>315</v>
      </c>
      <c r="G19" s="167"/>
    </row>
    <row r="20" spans="5:7">
      <c r="E20" s="167" t="s">
        <v>41</v>
      </c>
      <c r="F20" t="s">
        <v>315</v>
      </c>
      <c r="G20" s="167"/>
    </row>
    <row r="21" spans="5:7">
      <c r="E21" s="167" t="s">
        <v>261</v>
      </c>
      <c r="F21" t="s">
        <v>315</v>
      </c>
      <c r="G21" s="167"/>
    </row>
    <row r="22" spans="5:7">
      <c r="E22" s="167" t="s">
        <v>263</v>
      </c>
      <c r="F22" t="s">
        <v>315</v>
      </c>
      <c r="G22" s="167"/>
    </row>
    <row r="23" spans="5:7">
      <c r="E23" s="167" t="s">
        <v>43</v>
      </c>
      <c r="F23" t="s">
        <v>315</v>
      </c>
      <c r="G23" s="167"/>
    </row>
    <row r="24" spans="5:7">
      <c r="E24" s="167" t="s">
        <v>266</v>
      </c>
      <c r="F24" t="s">
        <v>315</v>
      </c>
      <c r="G24" s="167"/>
    </row>
    <row r="25" spans="5:7">
      <c r="E25" s="167" t="s">
        <v>269</v>
      </c>
      <c r="F25" t="s">
        <v>315</v>
      </c>
      <c r="G25" s="167"/>
    </row>
    <row r="26" spans="5:7">
      <c r="E26" s="167" t="s">
        <v>46</v>
      </c>
      <c r="F26" t="s">
        <v>315</v>
      </c>
      <c r="G26" s="167"/>
    </row>
    <row r="27" spans="5:7">
      <c r="E27" s="167" t="s">
        <v>47</v>
      </c>
      <c r="F27" t="s">
        <v>315</v>
      </c>
      <c r="G27" s="167"/>
    </row>
    <row r="28" spans="5:7">
      <c r="E28" s="167" t="s">
        <v>278</v>
      </c>
      <c r="F28" t="s">
        <v>315</v>
      </c>
      <c r="G28" s="167"/>
    </row>
    <row r="29" spans="5:7">
      <c r="E29" s="167" t="s">
        <v>48</v>
      </c>
      <c r="F29" t="s">
        <v>315</v>
      </c>
      <c r="G29" s="167"/>
    </row>
    <row r="30" spans="5:7">
      <c r="E30" s="167" t="s">
        <v>285</v>
      </c>
      <c r="F30" t="s">
        <v>315</v>
      </c>
      <c r="G30" s="167"/>
    </row>
    <row r="31" spans="5:7">
      <c r="E31" s="167" t="s">
        <v>298</v>
      </c>
      <c r="F31" t="s">
        <v>315</v>
      </c>
      <c r="G31" s="167"/>
    </row>
    <row r="32" spans="5:7">
      <c r="E32" s="167" t="s">
        <v>289</v>
      </c>
      <c r="F32" t="s">
        <v>315</v>
      </c>
      <c r="G32" s="167"/>
    </row>
    <row r="33" spans="5:7">
      <c r="E33" s="167" t="s">
        <v>290</v>
      </c>
      <c r="F33" t="s">
        <v>315</v>
      </c>
      <c r="G33" s="167"/>
    </row>
    <row r="34" spans="5:7">
      <c r="E34" s="167" t="s">
        <v>291</v>
      </c>
      <c r="F34" t="s">
        <v>315</v>
      </c>
    </row>
    <row r="35" spans="5:7">
      <c r="E35" s="167" t="s">
        <v>294</v>
      </c>
      <c r="F35" t="s">
        <v>315</v>
      </c>
    </row>
    <row r="36" spans="5:7">
      <c r="E36" s="167" t="s">
        <v>297</v>
      </c>
      <c r="F36" t="s">
        <v>315</v>
      </c>
    </row>
    <row r="38" spans="5:7">
      <c r="E38" s="167" t="s">
        <v>232</v>
      </c>
      <c r="F38" t="s">
        <v>316</v>
      </c>
    </row>
    <row r="39" spans="5:7">
      <c r="E39" s="167" t="s">
        <v>234</v>
      </c>
      <c r="F39" t="s">
        <v>316</v>
      </c>
    </row>
    <row r="40" spans="5:7">
      <c r="E40" s="167" t="s">
        <v>236</v>
      </c>
      <c r="F40" t="s">
        <v>316</v>
      </c>
    </row>
    <row r="41" spans="5:7">
      <c r="E41" s="167" t="s">
        <v>241</v>
      </c>
      <c r="F41" t="s">
        <v>316</v>
      </c>
    </row>
    <row r="42" spans="5:7">
      <c r="E42" s="167" t="s">
        <v>243</v>
      </c>
      <c r="F42" t="s">
        <v>316</v>
      </c>
    </row>
    <row r="43" spans="5:7">
      <c r="E43" s="167" t="s">
        <v>242</v>
      </c>
      <c r="F43" t="s">
        <v>316</v>
      </c>
    </row>
    <row r="44" spans="5:7">
      <c r="E44" s="167" t="s">
        <v>245</v>
      </c>
      <c r="F44" t="s">
        <v>316</v>
      </c>
    </row>
    <row r="45" spans="5:7">
      <c r="E45" s="167" t="s">
        <v>248</v>
      </c>
      <c r="F45" t="s">
        <v>316</v>
      </c>
    </row>
    <row r="46" spans="5:7">
      <c r="E46" s="167" t="s">
        <v>250</v>
      </c>
      <c r="F46" t="s">
        <v>316</v>
      </c>
    </row>
    <row r="47" spans="5:7">
      <c r="E47" s="167" t="s">
        <v>251</v>
      </c>
      <c r="F47" t="s">
        <v>316</v>
      </c>
    </row>
    <row r="48" spans="5:7">
      <c r="E48" s="167" t="s">
        <v>253</v>
      </c>
      <c r="F48" t="s">
        <v>316</v>
      </c>
    </row>
    <row r="49" spans="5:6">
      <c r="E49" s="167" t="s">
        <v>317</v>
      </c>
      <c r="F49" t="s">
        <v>316</v>
      </c>
    </row>
    <row r="50" spans="5:6">
      <c r="E50" s="167" t="s">
        <v>42</v>
      </c>
      <c r="F50" t="s">
        <v>316</v>
      </c>
    </row>
    <row r="51" spans="5:6">
      <c r="E51" s="167" t="s">
        <v>254</v>
      </c>
      <c r="F51" t="s">
        <v>316</v>
      </c>
    </row>
    <row r="52" spans="5:6">
      <c r="E52" s="167" t="s">
        <v>267</v>
      </c>
      <c r="F52" t="s">
        <v>316</v>
      </c>
    </row>
    <row r="53" spans="5:6">
      <c r="E53" s="167" t="s">
        <v>268</v>
      </c>
      <c r="F53" t="s">
        <v>316</v>
      </c>
    </row>
    <row r="54" spans="5:6">
      <c r="E54" s="167" t="s">
        <v>271</v>
      </c>
      <c r="F54" t="s">
        <v>316</v>
      </c>
    </row>
    <row r="55" spans="5:6">
      <c r="E55" s="167" t="s">
        <v>272</v>
      </c>
      <c r="F55" t="s">
        <v>316</v>
      </c>
    </row>
    <row r="56" spans="5:6">
      <c r="E56" s="167" t="s">
        <v>273</v>
      </c>
      <c r="F56" t="s">
        <v>316</v>
      </c>
    </row>
    <row r="57" spans="5:6">
      <c r="E57" s="167" t="s">
        <v>276</v>
      </c>
      <c r="F57" t="s">
        <v>316</v>
      </c>
    </row>
    <row r="58" spans="5:6">
      <c r="E58" s="167" t="s">
        <v>279</v>
      </c>
      <c r="F58" t="s">
        <v>316</v>
      </c>
    </row>
    <row r="59" spans="5:6">
      <c r="E59" s="167" t="s">
        <v>280</v>
      </c>
      <c r="F59" t="s">
        <v>316</v>
      </c>
    </row>
    <row r="60" spans="5:6">
      <c r="E60" s="167" t="s">
        <v>282</v>
      </c>
      <c r="F60" t="s">
        <v>316</v>
      </c>
    </row>
    <row r="61" spans="5:6">
      <c r="E61" s="167" t="s">
        <v>284</v>
      </c>
      <c r="F61" t="s">
        <v>316</v>
      </c>
    </row>
    <row r="62" spans="5:6">
      <c r="E62" s="167" t="s">
        <v>288</v>
      </c>
      <c r="F62" t="s">
        <v>316</v>
      </c>
    </row>
    <row r="63" spans="5:6">
      <c r="E63" s="167" t="s">
        <v>292</v>
      </c>
      <c r="F63" t="s">
        <v>316</v>
      </c>
    </row>
    <row r="64" spans="5:6">
      <c r="E64" s="167" t="s">
        <v>295</v>
      </c>
      <c r="F64" t="s">
        <v>316</v>
      </c>
    </row>
    <row r="66" spans="5:6">
      <c r="E66" s="167" t="s">
        <v>231</v>
      </c>
      <c r="F66" t="s">
        <v>318</v>
      </c>
    </row>
    <row r="67" spans="5:6">
      <c r="E67" s="167" t="s">
        <v>238</v>
      </c>
      <c r="F67" t="s">
        <v>318</v>
      </c>
    </row>
    <row r="68" spans="5:6">
      <c r="E68" s="167" t="s">
        <v>36</v>
      </c>
      <c r="F68" t="s">
        <v>318</v>
      </c>
    </row>
    <row r="69" spans="5:6">
      <c r="E69" s="167" t="s">
        <v>240</v>
      </c>
      <c r="F69" t="s">
        <v>318</v>
      </c>
    </row>
    <row r="70" spans="5:6">
      <c r="E70" s="167" t="s">
        <v>246</v>
      </c>
      <c r="F70" t="s">
        <v>318</v>
      </c>
    </row>
    <row r="71" spans="5:6">
      <c r="E71" s="167" t="s">
        <v>249</v>
      </c>
      <c r="F71" t="s">
        <v>318</v>
      </c>
    </row>
    <row r="72" spans="5:6">
      <c r="E72" s="167" t="s">
        <v>252</v>
      </c>
      <c r="F72" t="s">
        <v>318</v>
      </c>
    </row>
    <row r="73" spans="5:6">
      <c r="E73" s="167" t="s">
        <v>255</v>
      </c>
      <c r="F73" t="s">
        <v>318</v>
      </c>
    </row>
    <row r="74" spans="5:6">
      <c r="E74" s="167" t="s">
        <v>256</v>
      </c>
      <c r="F74" t="s">
        <v>318</v>
      </c>
    </row>
    <row r="75" spans="5:6">
      <c r="E75" s="167" t="s">
        <v>257</v>
      </c>
      <c r="F75" t="s">
        <v>318</v>
      </c>
    </row>
    <row r="76" spans="5:6">
      <c r="E76" s="167" t="s">
        <v>258</v>
      </c>
      <c r="F76" t="s">
        <v>318</v>
      </c>
    </row>
    <row r="77" spans="5:6">
      <c r="E77" s="167" t="s">
        <v>259</v>
      </c>
      <c r="F77" t="s">
        <v>318</v>
      </c>
    </row>
    <row r="78" spans="5:6">
      <c r="E78" s="167" t="s">
        <v>260</v>
      </c>
      <c r="F78" t="s">
        <v>318</v>
      </c>
    </row>
    <row r="79" spans="5:6">
      <c r="E79" s="167" t="s">
        <v>262</v>
      </c>
      <c r="F79" t="s">
        <v>318</v>
      </c>
    </row>
    <row r="80" spans="5:6">
      <c r="E80" s="167" t="s">
        <v>264</v>
      </c>
      <c r="F80" t="s">
        <v>318</v>
      </c>
    </row>
    <row r="81" spans="5:6">
      <c r="E81" s="167" t="s">
        <v>265</v>
      </c>
      <c r="F81" t="s">
        <v>318</v>
      </c>
    </row>
    <row r="82" spans="5:6">
      <c r="E82" s="167" t="s">
        <v>270</v>
      </c>
      <c r="F82" t="s">
        <v>318</v>
      </c>
    </row>
    <row r="83" spans="5:6">
      <c r="E83" s="167" t="s">
        <v>274</v>
      </c>
      <c r="F83" t="s">
        <v>318</v>
      </c>
    </row>
    <row r="84" spans="5:6">
      <c r="E84" s="167" t="s">
        <v>275</v>
      </c>
      <c r="F84" t="s">
        <v>318</v>
      </c>
    </row>
    <row r="85" spans="5:6">
      <c r="E85" s="167" t="s">
        <v>229</v>
      </c>
      <c r="F85" t="s">
        <v>318</v>
      </c>
    </row>
    <row r="86" spans="5:6">
      <c r="E86" s="167" t="s">
        <v>277</v>
      </c>
      <c r="F86" t="s">
        <v>318</v>
      </c>
    </row>
    <row r="87" spans="5:6">
      <c r="E87" s="167" t="s">
        <v>281</v>
      </c>
      <c r="F87" t="s">
        <v>318</v>
      </c>
    </row>
    <row r="88" spans="5:6">
      <c r="E88" s="167" t="s">
        <v>283</v>
      </c>
      <c r="F88" t="s">
        <v>318</v>
      </c>
    </row>
    <row r="89" spans="5:6">
      <c r="E89" s="167" t="s">
        <v>286</v>
      </c>
      <c r="F89" t="s">
        <v>318</v>
      </c>
    </row>
    <row r="90" spans="5:6">
      <c r="E90" s="167" t="s">
        <v>287</v>
      </c>
      <c r="F90" t="s">
        <v>318</v>
      </c>
    </row>
    <row r="91" spans="5:6">
      <c r="E91" s="167" t="s">
        <v>293</v>
      </c>
      <c r="F91" t="s">
        <v>318</v>
      </c>
    </row>
    <row r="92" spans="5:6">
      <c r="E92" s="167" t="s">
        <v>296</v>
      </c>
      <c r="F92" t="s">
        <v>318</v>
      </c>
    </row>
    <row r="96" spans="5:6" ht="141.75" customHeight="1">
      <c r="E96" s="168" t="s">
        <v>319</v>
      </c>
    </row>
    <row r="97" spans="5:5" ht="141.75" customHeight="1">
      <c r="E97" s="168" t="s">
        <v>319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
  <sheetViews>
    <sheetView zoomScale="85" zoomScaleNormal="85" workbookViewId="0">
      <selection activeCell="A4" sqref="A4:XFD5"/>
    </sheetView>
  </sheetViews>
  <sheetFormatPr defaultRowHeight="15"/>
  <cols>
    <col min="1" max="1" width="17.140625" style="66" customWidth="1"/>
    <col min="2" max="2" width="34.7109375" style="66" customWidth="1"/>
    <col min="3" max="3" width="30.140625" style="66" customWidth="1"/>
    <col min="4" max="4" width="24.28515625" style="66" customWidth="1"/>
    <col min="5" max="5" width="16.5703125" style="66" customWidth="1"/>
    <col min="6" max="6" width="20.140625" style="66" customWidth="1"/>
    <col min="7" max="7" width="23.140625" style="66" customWidth="1"/>
    <col min="8" max="8" width="24.5703125" style="66" customWidth="1"/>
    <col min="9" max="16384" width="9.140625" style="66"/>
  </cols>
  <sheetData>
    <row r="1" spans="1:8" ht="15.75">
      <c r="A1" s="96" t="s">
        <v>207</v>
      </c>
      <c r="B1" s="96" t="s">
        <v>208</v>
      </c>
      <c r="C1" s="65" t="s">
        <v>209</v>
      </c>
      <c r="D1" s="97" t="s">
        <v>210</v>
      </c>
      <c r="E1" s="99" t="s">
        <v>211</v>
      </c>
      <c r="F1" s="99" t="s">
        <v>212</v>
      </c>
      <c r="G1" s="99" t="s">
        <v>213</v>
      </c>
      <c r="H1" s="94" t="s">
        <v>156</v>
      </c>
    </row>
    <row r="2" spans="1:8" ht="94.5">
      <c r="A2" s="96"/>
      <c r="B2" s="96"/>
      <c r="C2" s="67" t="s">
        <v>214</v>
      </c>
      <c r="D2" s="98"/>
      <c r="E2" s="100"/>
      <c r="F2" s="100"/>
      <c r="G2" s="100"/>
      <c r="H2" s="95"/>
    </row>
    <row r="3" spans="1:8" ht="15.75">
      <c r="A3" s="68" t="s">
        <v>55</v>
      </c>
      <c r="B3" s="69"/>
      <c r="C3" s="69"/>
      <c r="D3" s="69"/>
      <c r="E3" s="69"/>
      <c r="F3" s="69"/>
      <c r="G3" s="69"/>
      <c r="H3" s="70"/>
    </row>
  </sheetData>
  <mergeCells count="7">
    <mergeCell ref="H1:H2"/>
    <mergeCell ref="A1:A2"/>
    <mergeCell ref="B1:B2"/>
    <mergeCell ref="D1:D2"/>
    <mergeCell ref="E1:E2"/>
    <mergeCell ref="F1:F2"/>
    <mergeCell ref="G1: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3"/>
  <sheetViews>
    <sheetView tabSelected="1" topLeftCell="F1" zoomScale="55" zoomScaleNormal="55" workbookViewId="0">
      <selection activeCell="L9" sqref="L9"/>
    </sheetView>
  </sheetViews>
  <sheetFormatPr defaultRowHeight="15"/>
  <cols>
    <col min="1" max="1" width="25.28515625" style="62" bestFit="1" customWidth="1"/>
    <col min="2" max="2" width="17.85546875" style="62" customWidth="1"/>
    <col min="3" max="3" width="18.85546875" style="62" customWidth="1"/>
    <col min="4" max="4" width="20.28515625" style="62" customWidth="1"/>
    <col min="5" max="6" width="24.85546875" style="62" customWidth="1"/>
    <col min="7" max="7" width="33.28515625" style="62" customWidth="1"/>
    <col min="8" max="8" width="24.85546875" style="62" customWidth="1"/>
    <col min="9" max="9" width="26.28515625" style="62" customWidth="1"/>
    <col min="10" max="10" width="27.28515625" style="62" hidden="1" customWidth="1"/>
    <col min="11" max="11" width="35.28515625" style="62" customWidth="1"/>
    <col min="12" max="12" width="60" style="62" bestFit="1" customWidth="1"/>
    <col min="13" max="13" width="23.42578125" style="62" customWidth="1"/>
    <col min="14" max="14" width="11.85546875" style="62" customWidth="1"/>
    <col min="15" max="15" width="12.28515625" style="62" customWidth="1"/>
    <col min="16" max="16" width="12" style="62" customWidth="1"/>
    <col min="17" max="19" width="12.28515625" style="62" customWidth="1"/>
    <col min="20" max="22" width="11.140625" style="62" customWidth="1"/>
    <col min="23" max="16384" width="9.140625" style="62"/>
  </cols>
  <sheetData>
    <row r="1" spans="1:22">
      <c r="A1" s="61" t="s">
        <v>129</v>
      </c>
      <c r="B1" s="61" t="s">
        <v>164</v>
      </c>
    </row>
    <row r="2" spans="1:22">
      <c r="A2" s="61" t="s">
        <v>165</v>
      </c>
      <c r="B2" s="61" t="s">
        <v>162</v>
      </c>
    </row>
    <row r="3" spans="1:22">
      <c r="A3" s="61"/>
      <c r="B3" s="61"/>
    </row>
    <row r="4" spans="1:22">
      <c r="A4" s="61"/>
      <c r="B4" s="61"/>
    </row>
    <row r="5" spans="1:22" s="63" customFormat="1">
      <c r="A5" s="101" t="s">
        <v>166</v>
      </c>
      <c r="B5" s="101" t="s">
        <v>18</v>
      </c>
      <c r="C5" s="101" t="s">
        <v>167</v>
      </c>
      <c r="D5" s="101"/>
      <c r="E5" s="101" t="s">
        <v>168</v>
      </c>
      <c r="F5" s="101"/>
      <c r="G5" s="101"/>
      <c r="H5" s="102" t="s">
        <v>169</v>
      </c>
      <c r="I5" s="104" t="s">
        <v>170</v>
      </c>
      <c r="J5" s="104" t="s">
        <v>130</v>
      </c>
      <c r="K5" s="104" t="s">
        <v>171</v>
      </c>
      <c r="L5" s="101" t="s">
        <v>172</v>
      </c>
      <c r="M5" s="101" t="s">
        <v>173</v>
      </c>
      <c r="N5" s="103" t="s">
        <v>174</v>
      </c>
      <c r="O5" s="103"/>
      <c r="P5" s="103"/>
      <c r="Q5" s="103"/>
      <c r="R5" s="103"/>
      <c r="S5" s="103"/>
      <c r="T5" s="103"/>
      <c r="U5" s="103"/>
      <c r="V5" s="103"/>
    </row>
    <row r="6" spans="1:22" s="63" customFormat="1">
      <c r="A6" s="101"/>
      <c r="B6" s="101"/>
      <c r="C6" s="101" t="s">
        <v>175</v>
      </c>
      <c r="D6" s="101" t="s">
        <v>176</v>
      </c>
      <c r="E6" s="101"/>
      <c r="F6" s="101"/>
      <c r="G6" s="101"/>
      <c r="H6" s="102"/>
      <c r="I6" s="104"/>
      <c r="J6" s="104"/>
      <c r="K6" s="104"/>
      <c r="L6" s="101"/>
      <c r="M6" s="101"/>
      <c r="N6" s="103" t="s">
        <v>177</v>
      </c>
      <c r="O6" s="103"/>
      <c r="P6" s="103"/>
      <c r="Q6" s="103" t="s">
        <v>178</v>
      </c>
      <c r="R6" s="103"/>
      <c r="S6" s="103"/>
      <c r="T6" s="103" t="s">
        <v>179</v>
      </c>
      <c r="U6" s="103"/>
      <c r="V6" s="103"/>
    </row>
    <row r="7" spans="1:22" s="63" customFormat="1">
      <c r="A7" s="101"/>
      <c r="B7" s="101"/>
      <c r="C7" s="101"/>
      <c r="D7" s="101"/>
      <c r="E7" s="80" t="s">
        <v>75</v>
      </c>
      <c r="F7" s="80" t="s">
        <v>76</v>
      </c>
      <c r="G7" s="80" t="s">
        <v>77</v>
      </c>
      <c r="H7" s="102"/>
      <c r="I7" s="104"/>
      <c r="J7" s="104"/>
      <c r="K7" s="104"/>
      <c r="L7" s="101"/>
      <c r="M7" s="101"/>
      <c r="N7" s="81">
        <v>2020</v>
      </c>
      <c r="O7" s="81">
        <v>2021</v>
      </c>
      <c r="P7" s="81">
        <v>2022</v>
      </c>
      <c r="Q7" s="81">
        <v>2023</v>
      </c>
      <c r="R7" s="81">
        <v>2024</v>
      </c>
      <c r="S7" s="81">
        <v>2025</v>
      </c>
      <c r="T7" s="81">
        <v>2026</v>
      </c>
      <c r="U7" s="81">
        <v>2027</v>
      </c>
      <c r="V7" s="81">
        <v>2028</v>
      </c>
    </row>
    <row r="8" spans="1:22" ht="197.25" customHeight="1">
      <c r="A8" s="105" t="s">
        <v>180</v>
      </c>
      <c r="B8" s="105" t="s">
        <v>181</v>
      </c>
      <c r="C8" s="64" t="s">
        <v>81</v>
      </c>
      <c r="D8" s="64" t="s">
        <v>101</v>
      </c>
      <c r="E8" s="64"/>
      <c r="F8" s="64"/>
      <c r="G8" s="64"/>
      <c r="H8" s="79" t="s">
        <v>105</v>
      </c>
      <c r="I8" s="79" t="s">
        <v>106</v>
      </c>
      <c r="J8" s="64"/>
      <c r="K8" s="79" t="s">
        <v>228</v>
      </c>
      <c r="L8" s="86"/>
      <c r="M8" s="82"/>
      <c r="N8" s="82"/>
      <c r="O8" s="82"/>
      <c r="P8" s="82"/>
      <c r="Q8" s="82"/>
      <c r="R8" s="82"/>
      <c r="S8" s="82"/>
      <c r="T8" s="82"/>
      <c r="U8" s="82"/>
      <c r="V8" s="82"/>
    </row>
    <row r="9" spans="1:22" ht="173.25" customHeight="1">
      <c r="A9" s="106"/>
      <c r="B9" s="106"/>
      <c r="C9" s="64" t="s">
        <v>87</v>
      </c>
      <c r="D9" s="64" t="s">
        <v>223</v>
      </c>
      <c r="E9" s="64"/>
      <c r="F9" s="64"/>
      <c r="G9" s="64"/>
      <c r="H9" s="79" t="s">
        <v>112</v>
      </c>
      <c r="I9" s="79" t="s">
        <v>107</v>
      </c>
      <c r="J9" s="64"/>
      <c r="K9" s="79" t="s">
        <v>225</v>
      </c>
      <c r="L9" s="86" t="s">
        <v>224</v>
      </c>
      <c r="M9" s="82"/>
      <c r="N9" s="82"/>
      <c r="O9" s="82"/>
      <c r="P9" s="82"/>
      <c r="Q9" s="82"/>
      <c r="R9" s="82"/>
      <c r="S9" s="82"/>
      <c r="T9" s="82"/>
      <c r="U9" s="82"/>
      <c r="V9" s="82"/>
    </row>
    <row r="10" spans="1:22" ht="146.25" customHeight="1">
      <c r="A10" s="106"/>
      <c r="B10" s="106"/>
      <c r="C10" s="64" t="s">
        <v>84</v>
      </c>
      <c r="D10" s="64" t="s">
        <v>115</v>
      </c>
      <c r="E10" s="64"/>
      <c r="F10" s="64"/>
      <c r="G10" s="64"/>
      <c r="H10" s="79" t="s">
        <v>113</v>
      </c>
      <c r="I10" s="79" t="s">
        <v>108</v>
      </c>
      <c r="J10" s="64"/>
      <c r="K10" s="79" t="s">
        <v>227</v>
      </c>
      <c r="L10" s="82"/>
      <c r="M10" s="82"/>
      <c r="N10" s="82"/>
      <c r="O10" s="82"/>
      <c r="P10" s="82"/>
      <c r="Q10" s="82"/>
      <c r="R10" s="82"/>
      <c r="S10" s="82"/>
      <c r="T10" s="82"/>
      <c r="U10" s="82"/>
      <c r="V10" s="82"/>
    </row>
    <row r="11" spans="1:22" ht="95.25" customHeight="1">
      <c r="A11" s="106"/>
      <c r="B11" s="106"/>
      <c r="C11" s="64" t="s">
        <v>86</v>
      </c>
      <c r="D11" s="64" t="s">
        <v>116</v>
      </c>
      <c r="E11" s="64"/>
      <c r="F11" s="64"/>
      <c r="G11" s="64"/>
      <c r="H11" s="79" t="s">
        <v>114</v>
      </c>
      <c r="I11" s="79" t="s">
        <v>109</v>
      </c>
      <c r="J11" s="64"/>
      <c r="K11" s="79" t="s">
        <v>226</v>
      </c>
      <c r="L11" s="82"/>
      <c r="M11" s="82"/>
      <c r="N11" s="82"/>
      <c r="O11" s="82"/>
      <c r="P11" s="82"/>
      <c r="Q11" s="82"/>
      <c r="R11" s="82"/>
      <c r="S11" s="82"/>
      <c r="T11" s="82"/>
      <c r="U11" s="82"/>
      <c r="V11" s="82"/>
    </row>
    <row r="12" spans="1:22" ht="60" customHeight="1">
      <c r="A12" s="107" t="s">
        <v>182</v>
      </c>
      <c r="B12" s="83" t="s">
        <v>183</v>
      </c>
      <c r="C12" s="64" t="s">
        <v>81</v>
      </c>
      <c r="D12" s="64" t="s">
        <v>184</v>
      </c>
      <c r="E12" s="64" t="s">
        <v>185</v>
      </c>
      <c r="F12" s="64" t="s">
        <v>186</v>
      </c>
      <c r="G12" s="64" t="s">
        <v>187</v>
      </c>
      <c r="H12" s="64"/>
      <c r="I12" s="64"/>
      <c r="J12" s="64"/>
      <c r="K12" s="64"/>
      <c r="L12" s="82"/>
      <c r="M12" s="82"/>
      <c r="N12" s="82"/>
      <c r="O12" s="82"/>
      <c r="P12" s="82"/>
      <c r="Q12" s="82"/>
      <c r="R12" s="82"/>
      <c r="S12" s="82"/>
      <c r="T12" s="82"/>
      <c r="U12" s="82"/>
      <c r="V12" s="82"/>
    </row>
    <row r="13" spans="1:22" ht="60" customHeight="1">
      <c r="A13" s="107"/>
      <c r="B13" s="84"/>
      <c r="C13" s="64" t="s">
        <v>84</v>
      </c>
      <c r="D13" s="64" t="s">
        <v>188</v>
      </c>
      <c r="E13" s="64" t="s">
        <v>185</v>
      </c>
      <c r="F13" s="64" t="s">
        <v>189</v>
      </c>
      <c r="G13" s="64" t="s">
        <v>187</v>
      </c>
      <c r="H13" s="64"/>
      <c r="I13" s="64"/>
      <c r="J13" s="64"/>
      <c r="K13" s="64"/>
      <c r="L13" s="82"/>
      <c r="M13" s="82"/>
      <c r="N13" s="82"/>
      <c r="O13" s="82"/>
      <c r="P13" s="82"/>
      <c r="Q13" s="82"/>
      <c r="R13" s="82"/>
      <c r="S13" s="82"/>
      <c r="T13" s="82"/>
      <c r="U13" s="82"/>
      <c r="V13" s="82"/>
    </row>
    <row r="14" spans="1:22" ht="30">
      <c r="A14" s="107"/>
      <c r="B14" s="84"/>
      <c r="C14" s="64" t="s">
        <v>86</v>
      </c>
      <c r="D14" s="64" t="s">
        <v>190</v>
      </c>
      <c r="E14" s="64" t="s">
        <v>185</v>
      </c>
      <c r="F14" s="64" t="s">
        <v>191</v>
      </c>
      <c r="G14" s="64" t="s">
        <v>192</v>
      </c>
      <c r="H14" s="64"/>
      <c r="I14" s="64"/>
      <c r="J14" s="64"/>
      <c r="K14" s="64"/>
      <c r="L14" s="82"/>
      <c r="M14" s="82"/>
      <c r="N14" s="82"/>
      <c r="O14" s="82"/>
      <c r="P14" s="82"/>
      <c r="Q14" s="82"/>
      <c r="R14" s="82"/>
      <c r="S14" s="82"/>
      <c r="T14" s="82"/>
      <c r="U14" s="82"/>
      <c r="V14" s="82"/>
    </row>
    <row r="15" spans="1:22" ht="30">
      <c r="A15" s="107"/>
      <c r="B15" s="84"/>
      <c r="C15" s="64" t="s">
        <v>87</v>
      </c>
      <c r="D15" s="64" t="s">
        <v>193</v>
      </c>
      <c r="E15" s="64" t="s">
        <v>185</v>
      </c>
      <c r="F15" s="64" t="s">
        <v>194</v>
      </c>
      <c r="G15" s="64" t="s">
        <v>187</v>
      </c>
      <c r="H15" s="64"/>
      <c r="I15" s="64"/>
      <c r="J15" s="64"/>
      <c r="K15" s="64"/>
      <c r="L15" s="82"/>
      <c r="M15" s="82"/>
      <c r="N15" s="82"/>
      <c r="O15" s="82"/>
      <c r="P15" s="82"/>
      <c r="Q15" s="82"/>
      <c r="R15" s="82"/>
      <c r="S15" s="82"/>
      <c r="T15" s="82"/>
      <c r="U15" s="82"/>
      <c r="V15" s="82"/>
    </row>
    <row r="16" spans="1:22" ht="120">
      <c r="A16" s="107" t="s">
        <v>195</v>
      </c>
      <c r="B16" s="84"/>
      <c r="C16" s="64" t="s">
        <v>81</v>
      </c>
      <c r="D16" s="64" t="s">
        <v>101</v>
      </c>
      <c r="E16" s="64" t="s">
        <v>196</v>
      </c>
      <c r="F16" s="64" t="s">
        <v>197</v>
      </c>
      <c r="G16" s="64" t="s">
        <v>198</v>
      </c>
      <c r="H16" s="64"/>
      <c r="I16" s="64"/>
      <c r="J16" s="64"/>
      <c r="K16" s="64"/>
      <c r="L16" s="82"/>
      <c r="M16" s="82"/>
      <c r="N16" s="82"/>
      <c r="O16" s="82"/>
      <c r="P16" s="82"/>
      <c r="Q16" s="82"/>
      <c r="R16" s="82"/>
      <c r="S16" s="82"/>
      <c r="T16" s="82"/>
      <c r="U16" s="82"/>
      <c r="V16" s="82"/>
    </row>
    <row r="17" spans="1:22" ht="162.75" customHeight="1">
      <c r="A17" s="107"/>
      <c r="B17" s="84"/>
      <c r="C17" s="64" t="s">
        <v>84</v>
      </c>
      <c r="D17" s="64" t="s">
        <v>199</v>
      </c>
      <c r="E17" s="64" t="s">
        <v>196</v>
      </c>
      <c r="F17" s="64" t="s">
        <v>200</v>
      </c>
      <c r="G17" s="64" t="s">
        <v>201</v>
      </c>
      <c r="H17" s="64"/>
      <c r="I17" s="64"/>
      <c r="J17" s="64"/>
      <c r="K17" s="64"/>
      <c r="L17" s="82"/>
      <c r="M17" s="82"/>
      <c r="N17" s="82"/>
      <c r="O17" s="82"/>
      <c r="P17" s="82"/>
      <c r="Q17" s="82"/>
      <c r="R17" s="82"/>
      <c r="S17" s="82"/>
      <c r="T17" s="82"/>
      <c r="U17" s="82"/>
      <c r="V17" s="82"/>
    </row>
    <row r="18" spans="1:22" ht="120">
      <c r="A18" s="107"/>
      <c r="B18" s="84"/>
      <c r="C18" s="64" t="s">
        <v>86</v>
      </c>
      <c r="D18" s="64" t="s">
        <v>202</v>
      </c>
      <c r="E18" s="64" t="s">
        <v>196</v>
      </c>
      <c r="F18" s="64" t="s">
        <v>203</v>
      </c>
      <c r="G18" s="64" t="s">
        <v>204</v>
      </c>
      <c r="H18" s="64"/>
      <c r="I18" s="64"/>
      <c r="J18" s="64"/>
      <c r="K18" s="64"/>
      <c r="L18" s="82"/>
      <c r="M18" s="82"/>
      <c r="N18" s="82"/>
      <c r="O18" s="82"/>
      <c r="P18" s="82"/>
      <c r="Q18" s="82"/>
      <c r="R18" s="82"/>
      <c r="S18" s="82"/>
      <c r="T18" s="82"/>
      <c r="U18" s="82"/>
      <c r="V18" s="82"/>
    </row>
    <row r="19" spans="1:22" ht="120">
      <c r="A19" s="107"/>
      <c r="B19" s="85"/>
      <c r="C19" s="64" t="s">
        <v>87</v>
      </c>
      <c r="D19" s="64" t="s">
        <v>115</v>
      </c>
      <c r="E19" s="64" t="s">
        <v>196</v>
      </c>
      <c r="F19" s="64" t="s">
        <v>205</v>
      </c>
      <c r="G19" s="64" t="s">
        <v>198</v>
      </c>
      <c r="H19" s="64"/>
      <c r="I19" s="64"/>
      <c r="J19" s="64"/>
      <c r="K19" s="64"/>
      <c r="L19" s="82"/>
      <c r="M19" s="82"/>
      <c r="N19" s="82"/>
      <c r="O19" s="82"/>
      <c r="P19" s="82"/>
      <c r="Q19" s="82"/>
      <c r="R19" s="82"/>
      <c r="S19" s="82"/>
      <c r="T19" s="82"/>
      <c r="U19" s="82"/>
      <c r="V19" s="82"/>
    </row>
    <row r="20" spans="1:22">
      <c r="A20" s="82"/>
      <c r="B20" s="108" t="s">
        <v>206</v>
      </c>
      <c r="C20" s="64" t="s">
        <v>81</v>
      </c>
      <c r="D20" s="64"/>
      <c r="E20" s="64"/>
      <c r="F20" s="64"/>
      <c r="G20" s="64"/>
      <c r="H20" s="64"/>
      <c r="I20" s="64"/>
      <c r="J20" s="64"/>
      <c r="K20" s="64"/>
      <c r="L20" s="82"/>
      <c r="M20" s="82"/>
      <c r="N20" s="82"/>
      <c r="O20" s="82"/>
      <c r="P20" s="82"/>
      <c r="Q20" s="82"/>
      <c r="R20" s="82"/>
      <c r="S20" s="82"/>
      <c r="T20" s="82"/>
      <c r="U20" s="82"/>
      <c r="V20" s="82"/>
    </row>
    <row r="21" spans="1:22">
      <c r="A21" s="82"/>
      <c r="B21" s="109"/>
      <c r="C21" s="64" t="s">
        <v>84</v>
      </c>
      <c r="D21" s="64"/>
      <c r="E21" s="64"/>
      <c r="F21" s="64"/>
      <c r="G21" s="64"/>
      <c r="H21" s="64"/>
      <c r="I21" s="64"/>
      <c r="J21" s="64"/>
      <c r="K21" s="64"/>
      <c r="L21" s="82"/>
      <c r="M21" s="82"/>
      <c r="N21" s="82"/>
      <c r="O21" s="82"/>
      <c r="P21" s="82"/>
      <c r="Q21" s="82"/>
      <c r="R21" s="82"/>
      <c r="S21" s="82"/>
      <c r="T21" s="82"/>
      <c r="U21" s="82"/>
      <c r="V21" s="82"/>
    </row>
    <row r="22" spans="1:22">
      <c r="A22" s="82"/>
      <c r="B22" s="109"/>
      <c r="C22" s="64" t="s">
        <v>86</v>
      </c>
      <c r="D22" s="64"/>
      <c r="E22" s="64"/>
      <c r="F22" s="64"/>
      <c r="G22" s="64"/>
      <c r="H22" s="64"/>
      <c r="I22" s="64"/>
      <c r="J22" s="64"/>
      <c r="K22" s="64"/>
      <c r="L22" s="82"/>
      <c r="M22" s="82"/>
      <c r="N22" s="82"/>
      <c r="O22" s="82"/>
      <c r="P22" s="82"/>
      <c r="Q22" s="82"/>
      <c r="R22" s="82"/>
      <c r="S22" s="82"/>
      <c r="T22" s="82"/>
      <c r="U22" s="82"/>
      <c r="V22" s="82"/>
    </row>
    <row r="23" spans="1:22">
      <c r="A23" s="82"/>
      <c r="B23" s="110"/>
      <c r="C23" s="64" t="s">
        <v>87</v>
      </c>
      <c r="D23" s="64"/>
      <c r="E23" s="64"/>
      <c r="F23" s="64"/>
      <c r="G23" s="64"/>
      <c r="H23" s="64"/>
      <c r="I23" s="64"/>
      <c r="J23" s="64"/>
      <c r="K23" s="64"/>
      <c r="L23" s="82"/>
      <c r="M23" s="82"/>
      <c r="N23" s="82"/>
      <c r="O23" s="82"/>
      <c r="P23" s="82"/>
      <c r="Q23" s="82"/>
      <c r="R23" s="82"/>
      <c r="S23" s="82"/>
      <c r="T23" s="82"/>
      <c r="U23" s="82"/>
      <c r="V23" s="82"/>
    </row>
  </sheetData>
  <mergeCells count="21">
    <mergeCell ref="A8:A11"/>
    <mergeCell ref="B8:B11"/>
    <mergeCell ref="A12:A15"/>
    <mergeCell ref="A16:A19"/>
    <mergeCell ref="B20:B23"/>
    <mergeCell ref="N6:P6"/>
    <mergeCell ref="Q6:S6"/>
    <mergeCell ref="T6:V6"/>
    <mergeCell ref="I5:I7"/>
    <mergeCell ref="J5:J7"/>
    <mergeCell ref="K5:K7"/>
    <mergeCell ref="L5:L7"/>
    <mergeCell ref="M5:M7"/>
    <mergeCell ref="N5:V5"/>
    <mergeCell ref="A5:A7"/>
    <mergeCell ref="B5:B7"/>
    <mergeCell ref="C5:D5"/>
    <mergeCell ref="E5:G6"/>
    <mergeCell ref="H5:H7"/>
    <mergeCell ref="C6:C7"/>
    <mergeCell ref="D6:D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A1:S30"/>
  <sheetViews>
    <sheetView topLeftCell="F6" zoomScale="60" zoomScaleNormal="60" workbookViewId="0">
      <selection activeCell="M17" sqref="M17"/>
    </sheetView>
  </sheetViews>
  <sheetFormatPr defaultColWidth="12.42578125" defaultRowHeight="15.75"/>
  <cols>
    <col min="1" max="1" width="32.42578125" style="46" customWidth="1"/>
    <col min="2" max="4" width="60" style="46" customWidth="1"/>
    <col min="5" max="5" width="34.7109375" style="46" customWidth="1"/>
    <col min="6" max="6" width="22.85546875" style="46" customWidth="1"/>
    <col min="7" max="13" width="16" style="46" customWidth="1"/>
    <col min="14" max="14" width="27.28515625" style="46" bestFit="1" customWidth="1"/>
    <col min="15" max="15" width="63.140625" style="46" bestFit="1" customWidth="1"/>
    <col min="16" max="16" width="12.42578125" style="46"/>
    <col min="17" max="17" width="21.7109375" style="46" bestFit="1" customWidth="1"/>
    <col min="18" max="18" width="21.85546875" style="46" bestFit="1" customWidth="1"/>
    <col min="19" max="19" width="15.7109375" style="46" customWidth="1"/>
    <col min="20" max="16384" width="12.42578125" style="46"/>
  </cols>
  <sheetData>
    <row r="1" spans="1:19">
      <c r="A1" s="44" t="s">
        <v>117</v>
      </c>
      <c r="B1" s="45"/>
      <c r="C1" s="45"/>
      <c r="D1" s="45"/>
      <c r="E1" s="45"/>
    </row>
    <row r="2" spans="1:19">
      <c r="A2" s="44" t="s">
        <v>118</v>
      </c>
      <c r="B2" s="45" t="s">
        <v>119</v>
      </c>
      <c r="C2" s="45"/>
      <c r="D2" s="45"/>
      <c r="E2" s="45"/>
    </row>
    <row r="3" spans="1:19">
      <c r="A3" s="44" t="s">
        <v>120</v>
      </c>
      <c r="B3" s="45" t="s">
        <v>121</v>
      </c>
      <c r="C3" s="45"/>
      <c r="D3" s="45"/>
      <c r="E3" s="45"/>
    </row>
    <row r="4" spans="1:19">
      <c r="A4" s="44" t="s">
        <v>122</v>
      </c>
      <c r="B4" s="45" t="s">
        <v>123</v>
      </c>
      <c r="C4" s="45"/>
      <c r="D4" s="45"/>
      <c r="E4" s="45"/>
    </row>
    <row r="5" spans="1:19">
      <c r="A5" s="44" t="s">
        <v>124</v>
      </c>
      <c r="B5" s="45" t="s">
        <v>125</v>
      </c>
      <c r="C5" s="45"/>
      <c r="D5" s="45"/>
      <c r="E5" s="45"/>
    </row>
    <row r="6" spans="1:19" ht="94.5">
      <c r="A6" s="47"/>
      <c r="B6" s="46" t="s">
        <v>126</v>
      </c>
      <c r="C6" s="46" t="s">
        <v>127</v>
      </c>
      <c r="D6" s="46" t="s">
        <v>128</v>
      </c>
    </row>
    <row r="7" spans="1:19">
      <c r="A7" s="47"/>
    </row>
    <row r="8" spans="1:19" ht="17.100000000000001" customHeight="1">
      <c r="A8" s="114" t="s">
        <v>129</v>
      </c>
      <c r="B8" s="114" t="s">
        <v>130</v>
      </c>
      <c r="C8" s="114" t="s">
        <v>131</v>
      </c>
      <c r="D8" s="114" t="s">
        <v>132</v>
      </c>
      <c r="E8" s="114"/>
      <c r="F8" s="114" t="s">
        <v>133</v>
      </c>
      <c r="G8" s="115" t="s">
        <v>134</v>
      </c>
      <c r="H8" s="115"/>
      <c r="I8" s="115"/>
      <c r="J8" s="115"/>
      <c r="K8" s="115"/>
      <c r="L8" s="115"/>
      <c r="M8" s="115"/>
      <c r="N8" s="112" t="s">
        <v>135</v>
      </c>
      <c r="O8" s="112" t="s">
        <v>136</v>
      </c>
      <c r="P8" s="112" t="s">
        <v>153</v>
      </c>
      <c r="Q8" s="112" t="s">
        <v>154</v>
      </c>
      <c r="R8" s="112" t="s">
        <v>155</v>
      </c>
      <c r="S8" s="112" t="s">
        <v>156</v>
      </c>
    </row>
    <row r="9" spans="1:19" ht="48.75" customHeight="1">
      <c r="A9" s="114"/>
      <c r="B9" s="114"/>
      <c r="C9" s="114"/>
      <c r="D9" s="48" t="s">
        <v>137</v>
      </c>
      <c r="E9" s="48" t="s">
        <v>138</v>
      </c>
      <c r="F9" s="114"/>
      <c r="G9" s="49" t="s">
        <v>139</v>
      </c>
      <c r="H9" s="49" t="s">
        <v>140</v>
      </c>
      <c r="I9" s="49" t="s">
        <v>141</v>
      </c>
      <c r="J9" s="49" t="s">
        <v>142</v>
      </c>
      <c r="K9" s="49" t="s">
        <v>143</v>
      </c>
      <c r="L9" s="49" t="s">
        <v>144</v>
      </c>
      <c r="M9" s="49" t="s">
        <v>145</v>
      </c>
      <c r="N9" s="113"/>
      <c r="O9" s="113"/>
      <c r="P9" s="113"/>
      <c r="Q9" s="113"/>
      <c r="R9" s="113"/>
      <c r="S9" s="113"/>
    </row>
    <row r="10" spans="1:19" ht="31.5">
      <c r="A10" s="50" t="s">
        <v>146</v>
      </c>
      <c r="B10" s="50"/>
      <c r="C10" s="50"/>
      <c r="D10" s="50"/>
      <c r="E10" s="50"/>
      <c r="F10" s="50"/>
      <c r="G10" s="50"/>
      <c r="H10" s="50"/>
      <c r="I10" s="50"/>
      <c r="J10" s="50"/>
      <c r="K10" s="50"/>
      <c r="L10" s="50"/>
      <c r="M10" s="50"/>
      <c r="N10" s="50"/>
      <c r="O10" s="50"/>
      <c r="P10" s="50"/>
      <c r="Q10" s="50"/>
      <c r="R10" s="50"/>
      <c r="S10" s="50"/>
    </row>
    <row r="11" spans="1:19" ht="31.5">
      <c r="A11" s="51" t="s">
        <v>147</v>
      </c>
      <c r="B11" s="51"/>
      <c r="C11" s="50"/>
      <c r="D11" s="50"/>
      <c r="E11" s="50"/>
      <c r="F11" s="50"/>
      <c r="G11" s="50"/>
      <c r="H11" s="50"/>
      <c r="I11" s="50"/>
      <c r="J11" s="50"/>
      <c r="K11" s="50"/>
      <c r="L11" s="50"/>
      <c r="M11" s="50"/>
      <c r="N11" s="50"/>
      <c r="O11" s="50"/>
      <c r="P11" s="50"/>
      <c r="Q11" s="50"/>
      <c r="R11" s="50"/>
      <c r="S11" s="50"/>
    </row>
    <row r="12" spans="1:19" ht="117" customHeight="1">
      <c r="A12" s="59" t="s">
        <v>148</v>
      </c>
      <c r="B12" s="52" t="s">
        <v>149</v>
      </c>
      <c r="C12" s="54" t="s">
        <v>337</v>
      </c>
      <c r="D12" s="53"/>
      <c r="E12" s="53" t="s">
        <v>150</v>
      </c>
      <c r="F12" s="50"/>
      <c r="G12" s="60" t="s">
        <v>157</v>
      </c>
      <c r="H12" s="60" t="s">
        <v>158</v>
      </c>
      <c r="I12" s="60" t="s">
        <v>157</v>
      </c>
      <c r="J12" s="60" t="s">
        <v>157</v>
      </c>
      <c r="K12" s="60" t="s">
        <v>158</v>
      </c>
      <c r="L12" s="60" t="s">
        <v>158</v>
      </c>
      <c r="M12" s="60" t="s">
        <v>158</v>
      </c>
      <c r="N12" s="50" t="s">
        <v>162</v>
      </c>
      <c r="O12" s="50" t="s">
        <v>163</v>
      </c>
      <c r="P12" s="50" t="s">
        <v>159</v>
      </c>
      <c r="Q12" s="50" t="s">
        <v>160</v>
      </c>
      <c r="R12" s="50" t="s">
        <v>161</v>
      </c>
      <c r="S12" s="50" t="s">
        <v>338</v>
      </c>
    </row>
    <row r="13" spans="1:19" ht="31.5">
      <c r="A13" s="51" t="s">
        <v>151</v>
      </c>
      <c r="B13" s="51"/>
      <c r="C13" s="50"/>
      <c r="D13" s="50"/>
      <c r="E13" s="50"/>
      <c r="F13" s="50"/>
      <c r="G13" s="50"/>
      <c r="H13" s="50"/>
      <c r="I13" s="50"/>
      <c r="J13" s="50"/>
      <c r="K13" s="50"/>
      <c r="L13" s="50"/>
      <c r="M13" s="50"/>
      <c r="N13" s="50"/>
      <c r="O13" s="50"/>
      <c r="P13" s="50"/>
      <c r="Q13" s="50"/>
      <c r="R13" s="50"/>
      <c r="S13" s="50"/>
    </row>
    <row r="14" spans="1:19" ht="31.5">
      <c r="A14" s="51" t="s">
        <v>152</v>
      </c>
      <c r="B14" s="51"/>
      <c r="C14" s="50"/>
      <c r="D14" s="50"/>
      <c r="E14" s="50"/>
      <c r="F14" s="50"/>
      <c r="G14" s="50"/>
      <c r="H14" s="50"/>
      <c r="I14" s="50"/>
      <c r="J14" s="50"/>
      <c r="K14" s="50"/>
      <c r="L14" s="50"/>
      <c r="M14" s="50"/>
      <c r="N14" s="50"/>
      <c r="O14" s="50"/>
      <c r="P14" s="50"/>
      <c r="Q14" s="50"/>
      <c r="R14" s="50"/>
      <c r="S14" s="50"/>
    </row>
    <row r="20" spans="1:4" ht="59.1" customHeight="1">
      <c r="A20" s="55"/>
      <c r="B20" s="111"/>
      <c r="C20" s="111"/>
      <c r="D20" s="45"/>
    </row>
    <row r="21" spans="1:4" ht="48" customHeight="1">
      <c r="A21" s="55"/>
      <c r="B21" s="111"/>
      <c r="C21" s="111"/>
      <c r="D21" s="45"/>
    </row>
    <row r="22" spans="1:4" ht="45.95" customHeight="1">
      <c r="A22" s="55"/>
      <c r="B22" s="56"/>
      <c r="C22" s="56"/>
      <c r="D22" s="45"/>
    </row>
    <row r="23" spans="1:4" ht="51.95" customHeight="1">
      <c r="A23" s="55"/>
      <c r="B23" s="111"/>
      <c r="C23" s="111"/>
      <c r="D23" s="45"/>
    </row>
    <row r="24" spans="1:4" ht="21">
      <c r="A24" s="56"/>
      <c r="B24" s="56"/>
      <c r="C24" s="56"/>
    </row>
    <row r="25" spans="1:4" ht="21">
      <c r="A25" s="56"/>
      <c r="B25" s="56"/>
      <c r="C25" s="56"/>
    </row>
    <row r="26" spans="1:4" ht="21">
      <c r="A26" s="56"/>
      <c r="B26" s="57"/>
      <c r="C26" s="56"/>
    </row>
    <row r="27" spans="1:4" ht="21">
      <c r="A27" s="56"/>
      <c r="B27" s="58"/>
      <c r="C27" s="56"/>
    </row>
    <row r="28" spans="1:4" ht="21">
      <c r="A28" s="56"/>
      <c r="B28" s="58"/>
      <c r="C28" s="56"/>
    </row>
    <row r="29" spans="1:4" ht="21">
      <c r="A29" s="56"/>
      <c r="B29" s="58"/>
      <c r="C29" s="56"/>
    </row>
    <row r="30" spans="1:4" ht="21">
      <c r="A30" s="56"/>
      <c r="B30" s="58"/>
      <c r="C30" s="56"/>
    </row>
  </sheetData>
  <mergeCells count="15">
    <mergeCell ref="A8:A9"/>
    <mergeCell ref="B8:B9"/>
    <mergeCell ref="C8:C9"/>
    <mergeCell ref="D8:E8"/>
    <mergeCell ref="R8:R9"/>
    <mergeCell ref="S8:S9"/>
    <mergeCell ref="B20:C20"/>
    <mergeCell ref="B21:C21"/>
    <mergeCell ref="F8:F9"/>
    <mergeCell ref="G8:M8"/>
    <mergeCell ref="B23:C23"/>
    <mergeCell ref="O8:O9"/>
    <mergeCell ref="N8:N9"/>
    <mergeCell ref="P8:P9"/>
    <mergeCell ref="Q8:Q9"/>
  </mergeCells>
  <pageMargins left="0.7" right="0.7" top="0.75" bottom="0.75" header="0.3" footer="0.3"/>
  <pageSetup paperSize="14" scale="39" orientation="landscape" copies="8"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6"/>
  <sheetViews>
    <sheetView zoomScale="55" zoomScaleNormal="55" workbookViewId="0">
      <pane xSplit="1" ySplit="2" topLeftCell="B6" activePane="bottomRight" state="frozen"/>
      <selection pane="topRight" activeCell="B1" sqref="B1"/>
      <selection pane="bottomLeft" activeCell="A3" sqref="A3"/>
      <selection pane="bottomRight" activeCell="C4" sqref="C4"/>
    </sheetView>
  </sheetViews>
  <sheetFormatPr defaultColWidth="9.140625" defaultRowHeight="15"/>
  <cols>
    <col min="1" max="1" width="18" style="42" bestFit="1" customWidth="1"/>
    <col min="2" max="2" width="42.42578125" style="42" bestFit="1" customWidth="1"/>
    <col min="3" max="3" width="19.7109375" style="42" bestFit="1" customWidth="1"/>
    <col min="4" max="4" width="28.42578125" style="42" customWidth="1"/>
    <col min="5" max="5" width="27" style="42" bestFit="1" customWidth="1"/>
    <col min="6" max="6" width="42.28515625" style="42" bestFit="1" customWidth="1"/>
    <col min="7" max="16384" width="9.140625" style="42"/>
  </cols>
  <sheetData>
    <row r="2" spans="1:6" ht="45">
      <c r="A2" s="35" t="s">
        <v>95</v>
      </c>
      <c r="B2" s="35" t="s">
        <v>96</v>
      </c>
      <c r="C2" s="35" t="s">
        <v>97</v>
      </c>
      <c r="D2" s="35" t="s">
        <v>98</v>
      </c>
      <c r="E2" s="35" t="s">
        <v>99</v>
      </c>
      <c r="F2" s="35" t="s">
        <v>100</v>
      </c>
    </row>
    <row r="3" spans="1:6" ht="247.5" customHeight="1">
      <c r="A3" s="34" t="s">
        <v>94</v>
      </c>
      <c r="B3" s="33" t="s">
        <v>111</v>
      </c>
      <c r="C3" s="43" t="str">
        <f>Summary!E4&amp; " " &amp; Summary!F4</f>
        <v>15.3 km of roads 52.97% are cemented/asphalt roads while 47.03% are rough roads</v>
      </c>
      <c r="D3" s="33" t="str">
        <f>Summary!K4&amp; " " &amp;Summary!L4</f>
        <v>24 HIGH RISK</v>
      </c>
      <c r="E3" s="43" t="s">
        <v>325</v>
      </c>
      <c r="F3" s="43" t="s">
        <v>326</v>
      </c>
    </row>
    <row r="4" spans="1:6" ht="345">
      <c r="A4" s="34" t="s">
        <v>102</v>
      </c>
      <c r="B4" s="33" t="s">
        <v>110</v>
      </c>
      <c r="C4" s="43" t="str">
        <f>Summary!E5&amp; " " &amp; Summary!F5</f>
        <v>124.33 km of roads 53.34% are cemented/asphalt roads while 46.66% are rough roads</v>
      </c>
      <c r="D4" s="33" t="str">
        <f>Summary!K5&amp; " " &amp;Summary!L5</f>
        <v>18 HIGH RISK</v>
      </c>
      <c r="E4" s="43" t="s">
        <v>327</v>
      </c>
      <c r="F4" s="43" t="s">
        <v>328</v>
      </c>
    </row>
    <row r="5" spans="1:6" ht="75">
      <c r="A5" s="34" t="s">
        <v>103</v>
      </c>
      <c r="B5" s="33" t="s">
        <v>110</v>
      </c>
      <c r="C5" s="43" t="str">
        <f>Summary!E6&amp; " " &amp; Summary!F6</f>
        <v>557.79 km of roads 23.48% are cemented/asphalt roads while 76.52% are rough roads</v>
      </c>
      <c r="D5" s="33" t="str">
        <f>Summary!K6&amp; " " &amp;Summary!L6</f>
        <v>6 MODERATE RISK</v>
      </c>
      <c r="E5" s="203" t="s">
        <v>329</v>
      </c>
      <c r="F5" s="43" t="s">
        <v>330</v>
      </c>
    </row>
    <row r="6" spans="1:6" ht="75">
      <c r="A6" s="34" t="s">
        <v>104</v>
      </c>
      <c r="B6" s="33" t="s">
        <v>110</v>
      </c>
      <c r="C6" s="43" t="str">
        <f>Summary!E7&amp; " " &amp; Summary!F7</f>
        <v>117.2 km of roads 17.13% are cemented/asphalt roads while 82.87% are rough roads</v>
      </c>
      <c r="D6" s="33" t="str">
        <f>Summary!K7&amp; " " &amp;Summary!L7</f>
        <v>6 MODERATE RISK</v>
      </c>
      <c r="E6" s="43" t="s">
        <v>331</v>
      </c>
      <c r="F6" s="43" t="s">
        <v>332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M7"/>
  <sheetViews>
    <sheetView topLeftCell="B1" zoomScale="85" zoomScaleNormal="85" workbookViewId="0">
      <selection activeCell="L12" sqref="L12"/>
    </sheetView>
  </sheetViews>
  <sheetFormatPr defaultRowHeight="15"/>
  <cols>
    <col min="1" max="3" width="15.7109375" customWidth="1"/>
    <col min="4" max="6" width="20.7109375" customWidth="1"/>
    <col min="7" max="12" width="15.7109375" customWidth="1"/>
    <col min="13" max="13" width="26.7109375" customWidth="1"/>
  </cols>
  <sheetData>
    <row r="1" spans="1:13" ht="18">
      <c r="A1" s="122" t="s">
        <v>69</v>
      </c>
      <c r="B1" s="124" t="s">
        <v>0</v>
      </c>
      <c r="C1" s="126" t="s">
        <v>1</v>
      </c>
      <c r="D1" s="128" t="s">
        <v>70</v>
      </c>
      <c r="E1" s="129"/>
      <c r="F1" s="130"/>
      <c r="G1" s="131" t="s">
        <v>71</v>
      </c>
      <c r="H1" s="120" t="s">
        <v>72</v>
      </c>
      <c r="I1" s="133" t="s">
        <v>5</v>
      </c>
      <c r="J1" s="135" t="s">
        <v>73</v>
      </c>
      <c r="K1" s="137" t="s">
        <v>74</v>
      </c>
      <c r="L1" s="139" t="s">
        <v>8</v>
      </c>
      <c r="M1" s="141" t="s">
        <v>73</v>
      </c>
    </row>
    <row r="2" spans="1:13">
      <c r="A2" s="123"/>
      <c r="B2" s="125"/>
      <c r="C2" s="127"/>
      <c r="D2" s="27" t="s">
        <v>75</v>
      </c>
      <c r="E2" s="28" t="s">
        <v>76</v>
      </c>
      <c r="F2" s="29" t="s">
        <v>77</v>
      </c>
      <c r="G2" s="132"/>
      <c r="H2" s="121"/>
      <c r="I2" s="134"/>
      <c r="J2" s="136"/>
      <c r="K2" s="138"/>
      <c r="L2" s="140"/>
      <c r="M2" s="142"/>
    </row>
    <row r="3" spans="1:13">
      <c r="A3" s="30"/>
      <c r="B3" s="31"/>
      <c r="C3" s="32"/>
      <c r="D3" s="30"/>
      <c r="E3" s="31"/>
      <c r="F3" s="32"/>
      <c r="G3" s="30" t="s">
        <v>78</v>
      </c>
      <c r="H3" s="32" t="s">
        <v>79</v>
      </c>
      <c r="I3" s="30" t="s">
        <v>80</v>
      </c>
      <c r="J3" s="32"/>
      <c r="K3" s="30"/>
      <c r="L3" s="31"/>
      <c r="M3" s="32"/>
    </row>
    <row r="4" spans="1:13" ht="76.5" customHeight="1">
      <c r="A4" s="116" t="s">
        <v>55</v>
      </c>
      <c r="B4" s="36" t="s">
        <v>81</v>
      </c>
      <c r="C4" s="37" t="s">
        <v>101</v>
      </c>
      <c r="D4" s="117" t="s">
        <v>82</v>
      </c>
      <c r="E4" s="91" t="str">
        <f>ROUND(Sheet7!F6,2)&amp;" km of roads"</f>
        <v>15.3 km of roads</v>
      </c>
      <c r="F4" s="39" t="str">
        <f>ROUND(Sheet7!G5*100,2)&amp;"% are cemented/asphalt roads while " &amp;ROUND(Sheet7!H5*100,2)&amp; "% are rough roads"</f>
        <v>52.97% are cemented/asphalt roads while 47.03% are rough roads</v>
      </c>
      <c r="G4" s="40">
        <f>GETPIVOTDATA("Average of Degree of Impact",'Sheet7 (2)'!$A$3,"Geographical Area or Ecosystem","COASTAL")</f>
        <v>4.75</v>
      </c>
      <c r="H4" s="202">
        <f>GETPIVOTDATA("Average of Ave. Adaptive Capacity",'Sheet7 (2)'!$A$3,"Geographical Area or Ecosystem","COASTAL")</f>
        <v>3.6666666666666665</v>
      </c>
      <c r="I4" s="41">
        <f>G4/H4</f>
        <v>1.2954545454545454</v>
      </c>
      <c r="J4" s="38" t="s">
        <v>83</v>
      </c>
      <c r="K4" s="40">
        <f>GETPIVOTDATA("Average of Risk Score",'Sheet7 (2)'!$A$3,"Geographical Area or Ecosystem","COASTAL")</f>
        <v>24</v>
      </c>
      <c r="L4" s="36" t="str">
        <f>_xlfn.IFS(K4&lt;=5,"LOW RISK",AND(K4&gt;5,K4&lt;=12),"MODERATE RISK",K4&gt;12,"HIGH RISK")</f>
        <v>HIGH RISK</v>
      </c>
      <c r="M4" s="39" t="str">
        <f>"The "&amp;C4 &amp;" have a medium low vulnerability but the risk is high"</f>
        <v>The 3 Barangays have a medium low vulnerability but the risk is high</v>
      </c>
    </row>
    <row r="5" spans="1:13" ht="81.75" customHeight="1">
      <c r="A5" s="116"/>
      <c r="B5" s="36" t="s">
        <v>87</v>
      </c>
      <c r="C5" s="37" t="s">
        <v>116</v>
      </c>
      <c r="D5" s="118"/>
      <c r="E5" s="91" t="str">
        <f>ROUND(Sheet7!F92,2)&amp;" km of roads"</f>
        <v>124.33 km of roads</v>
      </c>
      <c r="F5" s="39" t="str">
        <f>ROUND(Sheet7!G91*100,2)&amp;"% are cemented/asphalt roads while " &amp;ROUND(Sheet7!H91*100,2)&amp; "% are rough roads"</f>
        <v>53.34% are cemented/asphalt roads while 46.66% are rough roads</v>
      </c>
      <c r="G5" s="40">
        <f>GETPIVOTDATA("Average of Degree of Impact",'Sheet7 (2)'!$A$3,"Geographical Area or Ecosystem","URBAN")</f>
        <v>4.4259259259259256</v>
      </c>
      <c r="H5" s="202">
        <f>GETPIVOTDATA("Average of Ave. Adaptive Capacity",'Sheet7 (2)'!$A$3,"Geographical Area or Ecosystem","URBAN")</f>
        <v>3.6666666666666679</v>
      </c>
      <c r="I5" s="41">
        <f t="shared" ref="I5:I7" si="0">G5/H5</f>
        <v>1.2070707070707065</v>
      </c>
      <c r="J5" s="38" t="s">
        <v>83</v>
      </c>
      <c r="K5" s="40">
        <f>GETPIVOTDATA("Average of Risk Score",'Sheet7 (2)'!$A$3,"Geographical Area or Ecosystem","URBAN")</f>
        <v>18</v>
      </c>
      <c r="L5" s="36" t="str">
        <f t="shared" ref="L5:L7" si="1">_xlfn.IFS(K5&lt;=5,"LOW RISK",AND(K5&gt;5,K5&lt;=12),"MODERATE RISK",K5&gt;12,"HIGH RISK")</f>
        <v>HIGH RISK</v>
      </c>
      <c r="M5" s="39" t="str">
        <f>"The "&amp;C5 &amp;" have a medium low vulnerability but the risk is high"</f>
        <v>The 1 Barangay have a medium low vulnerability but the risk is high</v>
      </c>
    </row>
    <row r="6" spans="1:13" ht="63.75">
      <c r="A6" s="116"/>
      <c r="B6" s="36" t="s">
        <v>84</v>
      </c>
      <c r="C6" s="37" t="s">
        <v>115</v>
      </c>
      <c r="D6" s="118"/>
      <c r="E6" s="91" t="str">
        <f>ROUND(Sheet7!F37,2)&amp;" km of roads"</f>
        <v>557.79 km of roads</v>
      </c>
      <c r="F6" s="39" t="str">
        <f>ROUND(Sheet7!G36*100,2)&amp;"% are cemented/asphalt roads while " &amp;ROUND(Sheet7!H36*100,2)&amp; "% are rough roads"</f>
        <v>23.48% are cemented/asphalt roads while 76.52% are rough roads</v>
      </c>
      <c r="G6" s="40">
        <f>GETPIVOTDATA("Average of Degree of Impact",'Sheet7 (2)'!$A$3,"Geographical Area or Ecosystem","LOWLAND")</f>
        <v>4.3583333333333334</v>
      </c>
      <c r="H6" s="202">
        <f>GETPIVOTDATA("Average of Ave. Adaptive Capacity",'Sheet7 (2)'!$A$3,"Geographical Area or Ecosystem","LOWLAND")</f>
        <v>3.6666666666666683</v>
      </c>
      <c r="I6" s="41">
        <f t="shared" si="0"/>
        <v>1.188636363636363</v>
      </c>
      <c r="J6" s="38" t="s">
        <v>85</v>
      </c>
      <c r="K6" s="40">
        <f>GETPIVOTDATA("Average of Risk Score",'Sheet7 (2)'!$A$3,"Geographical Area or Ecosystem","LOWLAND")</f>
        <v>6</v>
      </c>
      <c r="L6" s="36" t="str">
        <f t="shared" si="1"/>
        <v>MODERATE RISK</v>
      </c>
      <c r="M6" s="39" t="str">
        <f t="shared" ref="M5:M6" si="2">"The "&amp;C6 &amp;" have a medium low vulnerability but the risk is moderate as it still affects the infrastructure."</f>
        <v>The 11 Barangays have a medium low vulnerability but the risk is moderate as it still affects the infrastructure.</v>
      </c>
    </row>
    <row r="7" spans="1:13" ht="51">
      <c r="A7" s="116"/>
      <c r="B7" s="36" t="s">
        <v>86</v>
      </c>
      <c r="C7" s="37" t="s">
        <v>116</v>
      </c>
      <c r="D7" s="119"/>
      <c r="E7" s="91" t="str">
        <f>ROUND(Sheet7!F64,2)&amp;" km of roads"</f>
        <v>117.2 km of roads</v>
      </c>
      <c r="F7" s="39" t="str">
        <f>ROUND(Sheet7!G63*100,2)&amp;"% are cemented/asphalt roads while " &amp;ROUND(Sheet7!H63*100,2)&amp; "% are rough roads"</f>
        <v>17.13% are cemented/asphalt roads while 82.87% are rough roads</v>
      </c>
      <c r="G7" s="40">
        <f>GETPIVOTDATA("Average of Degree of Impact",'Sheet7 (2)'!$A$3,"Geographical Area or Ecosystem","UPLAND")</f>
        <v>3.2019230769230771</v>
      </c>
      <c r="H7" s="202">
        <f>GETPIVOTDATA("Average of Ave. Adaptive Capacity",'Sheet7 (2)'!$A$3,"Geographical Area or Ecosystem","UPLAND")</f>
        <v>3.6666666666666674</v>
      </c>
      <c r="I7" s="41">
        <f t="shared" si="0"/>
        <v>0.87325174825174812</v>
      </c>
      <c r="J7" s="38" t="s">
        <v>83</v>
      </c>
      <c r="K7" s="40">
        <f>GETPIVOTDATA("Average of Risk Score",'Sheet7 (2)'!$A$3,"Geographical Area or Ecosystem","UPLAND")</f>
        <v>6</v>
      </c>
      <c r="L7" s="36" t="str">
        <f t="shared" si="1"/>
        <v>MODERATE RISK</v>
      </c>
      <c r="M7" s="39" t="str">
        <f>"The "&amp;C7 &amp;" have a low vulnerability but the risk is moderate as it still affects the infrastructure."</f>
        <v>The 1 Barangay have a low vulnerability but the risk is moderate as it still affects the infrastructure.</v>
      </c>
    </row>
  </sheetData>
  <mergeCells count="13">
    <mergeCell ref="I1:I2"/>
    <mergeCell ref="J1:J2"/>
    <mergeCell ref="K1:K2"/>
    <mergeCell ref="L1:L2"/>
    <mergeCell ref="M1:M2"/>
    <mergeCell ref="A4:A7"/>
    <mergeCell ref="D4:D7"/>
    <mergeCell ref="H1:H2"/>
    <mergeCell ref="A1:A2"/>
    <mergeCell ref="B1:B2"/>
    <mergeCell ref="C1:C2"/>
    <mergeCell ref="D1:F1"/>
    <mergeCell ref="G1: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DC48B-707A-4421-9745-E12C533A4414}">
  <dimension ref="A3:H95"/>
  <sheetViews>
    <sheetView topLeftCell="C74" workbookViewId="0">
      <selection activeCell="G94" sqref="G94:H94"/>
    </sheetView>
  </sheetViews>
  <sheetFormatPr defaultRowHeight="15"/>
  <cols>
    <col min="1" max="1" width="24.5703125" bestFit="1" customWidth="1"/>
    <col min="2" max="2" width="18.7109375" bestFit="1" customWidth="1"/>
    <col min="3" max="3" width="39" bestFit="1" customWidth="1"/>
    <col min="4" max="4" width="38.140625" bestFit="1" customWidth="1"/>
    <col min="5" max="5" width="27.28515625" bestFit="1" customWidth="1"/>
  </cols>
  <sheetData>
    <row r="3" spans="1:8">
      <c r="A3" s="197" t="s">
        <v>320</v>
      </c>
      <c r="B3" t="s">
        <v>335</v>
      </c>
      <c r="C3" t="s">
        <v>333</v>
      </c>
      <c r="D3" t="s">
        <v>334</v>
      </c>
      <c r="E3" t="s">
        <v>336</v>
      </c>
    </row>
    <row r="4" spans="1:8">
      <c r="A4" s="198" t="s">
        <v>299</v>
      </c>
      <c r="B4" s="200">
        <v>10.306303</v>
      </c>
      <c r="C4" s="200">
        <v>10.306303</v>
      </c>
      <c r="D4" s="200">
        <v>6.4053673145000003</v>
      </c>
      <c r="E4" s="200">
        <v>3.9009356854999995</v>
      </c>
    </row>
    <row r="5" spans="1:8">
      <c r="A5" s="199" t="s">
        <v>44</v>
      </c>
      <c r="B5" s="200">
        <v>4.9911300000000001</v>
      </c>
      <c r="C5" s="200">
        <v>4.9911300000000001</v>
      </c>
      <c r="D5" s="200">
        <v>1.6969842000000002</v>
      </c>
      <c r="E5" s="200">
        <v>3.2941457999999999</v>
      </c>
      <c r="G5" s="201">
        <f>G6/F6</f>
        <v>0.52965432268930357</v>
      </c>
      <c r="H5" s="201">
        <f>H6/F6</f>
        <v>0.47034567731069649</v>
      </c>
    </row>
    <row r="6" spans="1:8">
      <c r="A6" s="199" t="s">
        <v>45</v>
      </c>
      <c r="B6" s="200">
        <v>10.306303</v>
      </c>
      <c r="C6" s="200">
        <v>10.306303</v>
      </c>
      <c r="D6" s="200">
        <v>6.4053673145000003</v>
      </c>
      <c r="E6" s="200">
        <v>3.9009356854999995</v>
      </c>
      <c r="F6">
        <f>SUM(C5:C6)</f>
        <v>15.297433</v>
      </c>
      <c r="G6">
        <f t="shared" ref="G6:H6" si="0">SUM(D5:D6)</f>
        <v>8.1023515145000005</v>
      </c>
      <c r="H6">
        <f t="shared" si="0"/>
        <v>7.1950814854999994</v>
      </c>
    </row>
    <row r="7" spans="1:8">
      <c r="A7" s="198" t="s">
        <v>315</v>
      </c>
      <c r="B7" s="200">
        <v>63.604479999999995</v>
      </c>
      <c r="C7" s="200">
        <v>61.894809200000005</v>
      </c>
      <c r="D7" s="200">
        <v>34.3825665106</v>
      </c>
      <c r="E7" s="200">
        <v>39.434024855200001</v>
      </c>
    </row>
    <row r="8" spans="1:8">
      <c r="A8" s="199" t="s">
        <v>49</v>
      </c>
      <c r="B8" s="200">
        <v>6.3489399999999998</v>
      </c>
      <c r="C8" s="200">
        <v>6.3489405999999997</v>
      </c>
      <c r="D8" s="200">
        <v>1.63739178074</v>
      </c>
      <c r="E8" s="200">
        <v>4.7115488192599999</v>
      </c>
    </row>
    <row r="9" spans="1:8">
      <c r="A9" s="199" t="s">
        <v>34</v>
      </c>
      <c r="B9" s="200">
        <v>31.406580000000002</v>
      </c>
      <c r="C9" s="200">
        <v>31.4065002</v>
      </c>
      <c r="D9" s="200">
        <v>8.6242249549200007</v>
      </c>
      <c r="E9" s="200">
        <v>22.782275245080001</v>
      </c>
    </row>
    <row r="10" spans="1:8">
      <c r="A10" s="199" t="s">
        <v>233</v>
      </c>
      <c r="B10" s="200">
        <v>29.744185999999999</v>
      </c>
      <c r="C10" s="200">
        <v>29.744185999999999</v>
      </c>
      <c r="D10" s="200">
        <v>19.5657255508</v>
      </c>
      <c r="E10" s="200">
        <v>10.178460449199999</v>
      </c>
    </row>
    <row r="11" spans="1:8">
      <c r="A11" s="199" t="s">
        <v>235</v>
      </c>
      <c r="B11" s="200">
        <v>8.4385100000000008</v>
      </c>
      <c r="C11" s="200">
        <v>7.9509999999999996</v>
      </c>
      <c r="D11" s="200">
        <v>0.98592399999999991</v>
      </c>
      <c r="E11" s="200">
        <v>6.9650759999999998</v>
      </c>
    </row>
    <row r="12" spans="1:8">
      <c r="A12" s="199" t="s">
        <v>237</v>
      </c>
      <c r="B12" s="200">
        <v>31.075049</v>
      </c>
      <c r="C12" s="200">
        <v>31.075058000000002</v>
      </c>
      <c r="D12" s="200">
        <v>4.4623770364000004</v>
      </c>
      <c r="E12" s="200">
        <v>26.6126719636</v>
      </c>
    </row>
    <row r="13" spans="1:8">
      <c r="A13" s="199" t="s">
        <v>35</v>
      </c>
      <c r="B13" s="200">
        <v>3.8818688999999997</v>
      </c>
      <c r="C13" s="200">
        <v>3.88186747</v>
      </c>
      <c r="D13" s="200">
        <v>2.1583191084000002</v>
      </c>
      <c r="E13" s="200">
        <v>1.7235497915999995</v>
      </c>
    </row>
    <row r="14" spans="1:8">
      <c r="A14" s="199" t="s">
        <v>37</v>
      </c>
      <c r="B14" s="200">
        <v>39.374396000000004</v>
      </c>
      <c r="C14" s="200">
        <v>29.435226</v>
      </c>
      <c r="D14" s="200">
        <v>14.196609499800001</v>
      </c>
      <c r="E14" s="200">
        <v>15.238616500199999</v>
      </c>
    </row>
    <row r="15" spans="1:8">
      <c r="A15" s="199" t="s">
        <v>38</v>
      </c>
      <c r="B15" s="200">
        <v>8.7784999999999993</v>
      </c>
      <c r="C15" s="200">
        <v>8.7785031</v>
      </c>
      <c r="D15" s="200">
        <v>0.69613529583</v>
      </c>
      <c r="E15" s="200">
        <v>8.0823678041699996</v>
      </c>
    </row>
    <row r="16" spans="1:8">
      <c r="A16" s="199" t="s">
        <v>39</v>
      </c>
      <c r="B16" s="200">
        <v>14.954696999999999</v>
      </c>
      <c r="C16" s="200">
        <v>14.839117</v>
      </c>
      <c r="D16" s="200">
        <v>0.3368479559</v>
      </c>
      <c r="E16" s="200">
        <v>14.5022690441</v>
      </c>
    </row>
    <row r="17" spans="1:5">
      <c r="A17" s="199" t="s">
        <v>239</v>
      </c>
      <c r="B17" s="200">
        <v>16.182700000000001</v>
      </c>
      <c r="C17" s="200">
        <v>14.3978</v>
      </c>
      <c r="D17" s="200">
        <v>0.2519615</v>
      </c>
      <c r="E17" s="200">
        <v>14.1458385</v>
      </c>
    </row>
    <row r="18" spans="1:5">
      <c r="A18" s="199" t="s">
        <v>40</v>
      </c>
      <c r="B18" s="200">
        <v>6.4452999999999996</v>
      </c>
      <c r="C18" s="200">
        <v>6.4453052599999996</v>
      </c>
      <c r="D18" s="200">
        <v>3.4875546761859999</v>
      </c>
      <c r="E18" s="200">
        <v>2.9577505838139997</v>
      </c>
    </row>
    <row r="19" spans="1:5">
      <c r="A19" s="199" t="s">
        <v>244</v>
      </c>
      <c r="B19" s="200">
        <v>31.494199999999999</v>
      </c>
      <c r="C19" s="200">
        <v>19.113407999999996</v>
      </c>
      <c r="D19" s="200">
        <v>2.7236606399999994</v>
      </c>
      <c r="E19" s="200">
        <v>16.389747359999998</v>
      </c>
    </row>
    <row r="20" spans="1:5">
      <c r="A20" s="199" t="s">
        <v>247</v>
      </c>
      <c r="B20" s="200">
        <v>10.1265</v>
      </c>
      <c r="C20" s="200">
        <v>9.6665039999999998</v>
      </c>
      <c r="D20" s="200">
        <v>0.40502651759999997</v>
      </c>
      <c r="E20" s="200">
        <v>9.2614774824000001</v>
      </c>
    </row>
    <row r="21" spans="1:5">
      <c r="A21" s="199" t="s">
        <v>41</v>
      </c>
      <c r="B21" s="200">
        <v>34.581380000000003</v>
      </c>
      <c r="C21" s="200">
        <v>34.581425100000004</v>
      </c>
      <c r="D21" s="200">
        <v>5.6886444289500009</v>
      </c>
      <c r="E21" s="200">
        <v>28.892780671050005</v>
      </c>
    </row>
    <row r="22" spans="1:5">
      <c r="A22" s="199" t="s">
        <v>261</v>
      </c>
      <c r="B22" s="200">
        <v>15.10915</v>
      </c>
      <c r="C22" s="200">
        <v>11.074216999999999</v>
      </c>
      <c r="D22" s="200">
        <v>3.3222650999999996</v>
      </c>
      <c r="E22" s="200">
        <v>7.7519518999999999</v>
      </c>
    </row>
    <row r="23" spans="1:5">
      <c r="A23" s="199" t="s">
        <v>263</v>
      </c>
      <c r="B23" s="200">
        <v>10.92834</v>
      </c>
      <c r="C23" s="200">
        <v>10.92834</v>
      </c>
      <c r="D23" s="200">
        <v>1.9889578800000001</v>
      </c>
      <c r="E23" s="200">
        <v>8.9393821200000012</v>
      </c>
    </row>
    <row r="24" spans="1:5">
      <c r="A24" s="199" t="s">
        <v>43</v>
      </c>
      <c r="B24" s="200">
        <v>63.604479999999995</v>
      </c>
      <c r="C24" s="200">
        <v>61.894809200000005</v>
      </c>
      <c r="D24" s="200">
        <v>34.3825665106</v>
      </c>
      <c r="E24" s="200">
        <v>27.512242689400004</v>
      </c>
    </row>
    <row r="25" spans="1:5">
      <c r="A25" s="199" t="s">
        <v>266</v>
      </c>
      <c r="B25" s="200">
        <v>18.032319999999999</v>
      </c>
      <c r="C25" s="200">
        <v>17.958020000000001</v>
      </c>
      <c r="D25" s="200">
        <v>0.86378076199999998</v>
      </c>
      <c r="E25" s="200">
        <v>17.094239238</v>
      </c>
    </row>
    <row r="26" spans="1:5">
      <c r="A26" s="199" t="s">
        <v>269</v>
      </c>
      <c r="B26" s="200">
        <v>20.122319999999998</v>
      </c>
      <c r="C26" s="200">
        <v>20.120523000000002</v>
      </c>
      <c r="D26" s="200">
        <v>3.5371879434000006</v>
      </c>
      <c r="E26" s="200">
        <v>16.583335056600003</v>
      </c>
    </row>
    <row r="27" spans="1:5">
      <c r="A27" s="199" t="s">
        <v>46</v>
      </c>
      <c r="B27" s="200">
        <v>5.9688800000000004</v>
      </c>
      <c r="C27" s="200">
        <v>5.9688784000000004</v>
      </c>
      <c r="D27" s="200">
        <v>0.51272665456000011</v>
      </c>
      <c r="E27" s="200">
        <v>5.4561517454400006</v>
      </c>
    </row>
    <row r="28" spans="1:5">
      <c r="A28" s="199" t="s">
        <v>47</v>
      </c>
      <c r="B28" s="200">
        <v>14.308109</v>
      </c>
      <c r="C28" s="200">
        <v>14.308046399999998</v>
      </c>
      <c r="D28" s="200">
        <v>1.47945199776</v>
      </c>
      <c r="E28" s="200">
        <v>12.828594402239998</v>
      </c>
    </row>
    <row r="29" spans="1:5">
      <c r="A29" s="199" t="s">
        <v>278</v>
      </c>
      <c r="B29" s="200">
        <v>3.0484979999999999</v>
      </c>
      <c r="C29" s="200">
        <v>3.0484999999999998</v>
      </c>
      <c r="D29" s="200">
        <v>0.74109035000000001</v>
      </c>
      <c r="E29" s="200">
        <v>2.3074096499999999</v>
      </c>
    </row>
    <row r="30" spans="1:5">
      <c r="A30" s="199" t="s">
        <v>48</v>
      </c>
      <c r="B30" s="200">
        <v>21.383389000000001</v>
      </c>
      <c r="C30" s="200">
        <v>13.658362</v>
      </c>
      <c r="D30" s="200">
        <v>1.1117906667999999</v>
      </c>
      <c r="E30" s="200">
        <v>12.546571333200001</v>
      </c>
    </row>
    <row r="31" spans="1:5">
      <c r="A31" s="199" t="s">
        <v>285</v>
      </c>
      <c r="B31" s="200">
        <v>41.404899999999998</v>
      </c>
      <c r="C31" s="200">
        <v>41.404898000000003</v>
      </c>
      <c r="D31" s="200">
        <v>1.9708731448000003</v>
      </c>
      <c r="E31" s="200">
        <v>39.434024855200001</v>
      </c>
    </row>
    <row r="32" spans="1:5">
      <c r="A32" s="199" t="s">
        <v>298</v>
      </c>
      <c r="B32" s="200">
        <v>14.86323</v>
      </c>
      <c r="C32" s="200">
        <v>13.356400000000001</v>
      </c>
      <c r="D32" s="200">
        <v>1.6268095200000001</v>
      </c>
      <c r="E32" s="200">
        <v>11.729590480000001</v>
      </c>
    </row>
    <row r="33" spans="1:8">
      <c r="A33" s="199" t="s">
        <v>289</v>
      </c>
      <c r="B33" s="200">
        <v>15.4915</v>
      </c>
      <c r="C33" s="200">
        <v>14.591099999999999</v>
      </c>
      <c r="D33" s="200">
        <v>4.3773299999999997</v>
      </c>
      <c r="E33" s="200">
        <v>10.21377</v>
      </c>
    </row>
    <row r="34" spans="1:8">
      <c r="A34" s="199" t="s">
        <v>290</v>
      </c>
      <c r="B34" s="200">
        <v>16.7117</v>
      </c>
      <c r="C34" s="200">
        <v>15.866410699999999</v>
      </c>
      <c r="D34" s="200">
        <v>0.25068928906000004</v>
      </c>
      <c r="E34" s="200">
        <v>15.615721410939999</v>
      </c>
    </row>
    <row r="35" spans="1:8">
      <c r="A35" s="199" t="s">
        <v>291</v>
      </c>
      <c r="B35" s="200">
        <v>14.4847</v>
      </c>
      <c r="C35" s="200">
        <v>11.908380000000001</v>
      </c>
      <c r="D35" s="200">
        <v>0.67044179400000015</v>
      </c>
      <c r="E35" s="200">
        <v>11.237938206000001</v>
      </c>
    </row>
    <row r="36" spans="1:8">
      <c r="A36" s="199" t="s">
        <v>294</v>
      </c>
      <c r="B36" s="200">
        <v>13.040481</v>
      </c>
      <c r="C36" s="200">
        <v>13.040467599999999</v>
      </c>
      <c r="D36" s="200">
        <v>3.7843436975200002</v>
      </c>
      <c r="E36" s="200">
        <v>9.2561239024799988</v>
      </c>
      <c r="G36" s="201">
        <f>G37/F37</f>
        <v>0.23483780958524383</v>
      </c>
      <c r="H36" s="201">
        <f>H37/F37</f>
        <v>0.76516217684330756</v>
      </c>
    </row>
    <row r="37" spans="1:8">
      <c r="A37" s="199" t="s">
        <v>297</v>
      </c>
      <c r="B37" s="200">
        <v>40.996480000000005</v>
      </c>
      <c r="C37" s="200">
        <v>40.996442999999999</v>
      </c>
      <c r="D37" s="200">
        <v>5.1491532407999996</v>
      </c>
      <c r="E37" s="200">
        <v>35.847289759200002</v>
      </c>
      <c r="F37">
        <f>SUM(C8:C37)</f>
        <v>557.78863602999991</v>
      </c>
      <c r="G37">
        <f t="shared" ref="G37:H37" si="1">SUM(D8:D37)</f>
        <v>130.98986149682599</v>
      </c>
      <c r="H37">
        <f t="shared" si="1"/>
        <v>426.7987669631741</v>
      </c>
    </row>
    <row r="38" spans="1:8">
      <c r="A38" s="198" t="s">
        <v>316</v>
      </c>
      <c r="B38" s="200">
        <v>68.172290000000004</v>
      </c>
      <c r="C38" s="200">
        <v>17.388847000000002</v>
      </c>
      <c r="D38" s="200">
        <v>6.4255263839999994</v>
      </c>
      <c r="E38" s="200">
        <v>17.388847000000002</v>
      </c>
    </row>
    <row r="39" spans="1:8">
      <c r="A39" s="199" t="s">
        <v>232</v>
      </c>
      <c r="B39" s="200">
        <v>15.261330000000001</v>
      </c>
      <c r="C39" s="200">
        <v>8.9243421999999999</v>
      </c>
      <c r="D39" s="200">
        <v>6.4255263839999994</v>
      </c>
      <c r="E39" s="200">
        <v>2.4988158160000005</v>
      </c>
    </row>
    <row r="40" spans="1:8">
      <c r="A40" s="199" t="s">
        <v>234</v>
      </c>
      <c r="B40" s="200">
        <v>25.430999999999997</v>
      </c>
      <c r="C40" s="200">
        <v>1.6052040000000001</v>
      </c>
      <c r="D40" s="200">
        <v>0</v>
      </c>
      <c r="E40" s="200">
        <v>1.6052040000000001</v>
      </c>
    </row>
    <row r="41" spans="1:8">
      <c r="A41" s="199" t="s">
        <v>236</v>
      </c>
      <c r="B41" s="200">
        <v>17.492000000000001</v>
      </c>
      <c r="C41" s="200">
        <v>9.0850669999999987</v>
      </c>
      <c r="D41" s="200">
        <v>0.15717165909999997</v>
      </c>
      <c r="E41" s="200">
        <v>8.9278953408999993</v>
      </c>
    </row>
    <row r="42" spans="1:8">
      <c r="A42" s="199" t="s">
        <v>241</v>
      </c>
      <c r="B42" s="200">
        <v>12.7377</v>
      </c>
      <c r="C42" s="200">
        <v>5.6304490000000005</v>
      </c>
      <c r="D42" s="200">
        <v>1.5821561690000003</v>
      </c>
      <c r="E42" s="200">
        <v>4.0482928310000004</v>
      </c>
    </row>
    <row r="43" spans="1:8">
      <c r="A43" s="199" t="s">
        <v>242</v>
      </c>
      <c r="B43" s="200">
        <v>10.722899999999999</v>
      </c>
      <c r="C43" s="200">
        <v>3.6167289999999999</v>
      </c>
      <c r="D43" s="200">
        <v>4.2677402199999999E-2</v>
      </c>
      <c r="E43" s="200">
        <v>3.5740515978</v>
      </c>
    </row>
    <row r="44" spans="1:8">
      <c r="A44" s="199" t="s">
        <v>243</v>
      </c>
      <c r="B44" s="200">
        <v>21.019310400000002</v>
      </c>
      <c r="C44" s="200">
        <v>6.8891106999999998</v>
      </c>
      <c r="D44" s="200">
        <v>8.3358239469999998E-2</v>
      </c>
      <c r="E44" s="200">
        <v>6.8057524605299999</v>
      </c>
    </row>
    <row r="45" spans="1:8">
      <c r="A45" s="199" t="s">
        <v>245</v>
      </c>
      <c r="B45" s="200">
        <v>5.8381100000000004</v>
      </c>
      <c r="C45" s="200">
        <v>0.61901899999999999</v>
      </c>
      <c r="D45" s="200">
        <v>0</v>
      </c>
      <c r="E45" s="200">
        <v>0.61901899999999999</v>
      </c>
    </row>
    <row r="46" spans="1:8">
      <c r="A46" s="199" t="s">
        <v>248</v>
      </c>
      <c r="B46" s="200">
        <v>13.091200000000001</v>
      </c>
      <c r="C46" s="200">
        <v>1.91228</v>
      </c>
      <c r="D46" s="200">
        <v>7.3240323999999996E-2</v>
      </c>
      <c r="E46" s="200">
        <v>1.8390396760000001</v>
      </c>
    </row>
    <row r="47" spans="1:8">
      <c r="A47" s="199" t="s">
        <v>250</v>
      </c>
      <c r="B47" s="200">
        <v>12.750299999999999</v>
      </c>
      <c r="C47" s="200">
        <v>8.8772377999999996</v>
      </c>
      <c r="D47" s="200">
        <v>5.9921355150000002</v>
      </c>
      <c r="E47" s="200">
        <v>2.8851022849999994</v>
      </c>
    </row>
    <row r="48" spans="1:8">
      <c r="A48" s="199" t="s">
        <v>251</v>
      </c>
      <c r="B48" s="200">
        <v>2.2807499999999998</v>
      </c>
      <c r="C48" s="200">
        <v>0.172046</v>
      </c>
      <c r="D48" s="200">
        <v>0.172046</v>
      </c>
      <c r="E48" s="200">
        <v>0</v>
      </c>
    </row>
    <row r="49" spans="1:8">
      <c r="A49" s="199" t="s">
        <v>253</v>
      </c>
      <c r="B49" s="200">
        <v>5.7288199999999998</v>
      </c>
      <c r="C49" s="200">
        <v>0.49418850000000003</v>
      </c>
      <c r="D49" s="200">
        <v>0.49418850000000003</v>
      </c>
      <c r="E49" s="200">
        <v>0</v>
      </c>
    </row>
    <row r="50" spans="1:8">
      <c r="A50" s="199" t="s">
        <v>42</v>
      </c>
      <c r="B50" s="200">
        <v>16.250083199999999</v>
      </c>
      <c r="C50" s="200">
        <v>2.0332550599999997</v>
      </c>
      <c r="D50" s="200">
        <v>1.0091044862779999</v>
      </c>
      <c r="E50" s="200">
        <v>1.0241505737219998</v>
      </c>
    </row>
    <row r="51" spans="1:8">
      <c r="A51" s="199" t="s">
        <v>254</v>
      </c>
      <c r="B51" s="200">
        <v>36.836129999999997</v>
      </c>
      <c r="C51" s="200">
        <v>8.7609307000000012</v>
      </c>
      <c r="D51" s="200">
        <v>0</v>
      </c>
      <c r="E51" s="200">
        <v>8.7609307000000012</v>
      </c>
    </row>
    <row r="52" spans="1:8">
      <c r="A52" s="199" t="s">
        <v>267</v>
      </c>
      <c r="B52" s="200">
        <v>7.0247299999999999</v>
      </c>
      <c r="C52" s="200">
        <v>0.95795640000000004</v>
      </c>
      <c r="D52" s="200">
        <v>0</v>
      </c>
      <c r="E52" s="200">
        <v>0.95795640000000004</v>
      </c>
    </row>
    <row r="53" spans="1:8">
      <c r="A53" s="199" t="s">
        <v>268</v>
      </c>
      <c r="B53" s="200">
        <v>17.447299999999998</v>
      </c>
      <c r="C53" s="200">
        <v>3.3257829999999999</v>
      </c>
      <c r="D53" s="200">
        <v>0.79985081149999993</v>
      </c>
      <c r="E53" s="200">
        <v>2.5259321885000001</v>
      </c>
    </row>
    <row r="54" spans="1:8">
      <c r="A54" s="199" t="s">
        <v>271</v>
      </c>
      <c r="B54" s="200">
        <v>9.00014</v>
      </c>
      <c r="C54" s="200">
        <v>0.63432620000000006</v>
      </c>
      <c r="D54" s="200">
        <v>1.4716367840000001E-2</v>
      </c>
      <c r="E54" s="200">
        <v>0.6196098321600001</v>
      </c>
    </row>
    <row r="55" spans="1:8">
      <c r="A55" s="199" t="s">
        <v>272</v>
      </c>
      <c r="B55" s="200">
        <v>16.02581</v>
      </c>
      <c r="C55" s="200">
        <v>13.186126999999999</v>
      </c>
      <c r="D55" s="200">
        <v>0.69622750559999991</v>
      </c>
      <c r="E55" s="200">
        <v>12.489899494399999</v>
      </c>
    </row>
    <row r="56" spans="1:8">
      <c r="A56" s="199" t="s">
        <v>273</v>
      </c>
      <c r="B56" s="200">
        <v>22.753499999999999</v>
      </c>
      <c r="C56" s="200">
        <v>1.4132449999999999</v>
      </c>
      <c r="D56" s="200">
        <v>2.1057350499999999E-2</v>
      </c>
      <c r="E56" s="200">
        <v>1.3921876494999998</v>
      </c>
    </row>
    <row r="57" spans="1:8">
      <c r="A57" s="199" t="s">
        <v>276</v>
      </c>
      <c r="B57" s="200">
        <v>35.805550000000004</v>
      </c>
      <c r="C57" s="200">
        <v>0.96111210000000002</v>
      </c>
      <c r="D57" s="200">
        <v>0</v>
      </c>
      <c r="E57" s="200">
        <v>0.96111210000000002</v>
      </c>
    </row>
    <row r="58" spans="1:8">
      <c r="A58" s="199" t="s">
        <v>279</v>
      </c>
      <c r="B58" s="200">
        <v>14.91145</v>
      </c>
      <c r="C58" s="200">
        <v>2.748516</v>
      </c>
      <c r="D58" s="200">
        <v>0.65002403399999997</v>
      </c>
      <c r="E58" s="200">
        <v>2.0984919660000001</v>
      </c>
    </row>
    <row r="59" spans="1:8">
      <c r="A59" s="199" t="s">
        <v>280</v>
      </c>
      <c r="B59" s="200">
        <v>20.832799999999999</v>
      </c>
      <c r="C59" s="200">
        <v>17.388847000000002</v>
      </c>
      <c r="D59" s="200">
        <v>0</v>
      </c>
      <c r="E59" s="200">
        <v>17.388847000000002</v>
      </c>
    </row>
    <row r="60" spans="1:8">
      <c r="A60" s="199" t="s">
        <v>282</v>
      </c>
      <c r="B60" s="200">
        <v>10.6271</v>
      </c>
      <c r="C60" s="200">
        <v>4.6983800000000002</v>
      </c>
      <c r="D60" s="200">
        <v>0.141421238</v>
      </c>
      <c r="E60" s="200">
        <v>4.5569587619999998</v>
      </c>
    </row>
    <row r="61" spans="1:8">
      <c r="A61" s="199" t="s">
        <v>284</v>
      </c>
      <c r="B61" s="200">
        <v>7.6228899999999999</v>
      </c>
      <c r="C61" s="200">
        <v>0.86441069999999998</v>
      </c>
      <c r="D61" s="200">
        <v>2.135094429E-2</v>
      </c>
      <c r="E61" s="200">
        <v>0.84305975571000002</v>
      </c>
    </row>
    <row r="62" spans="1:8">
      <c r="A62" s="199" t="s">
        <v>288</v>
      </c>
      <c r="B62" s="200">
        <v>13.2149</v>
      </c>
      <c r="C62" s="200">
        <v>0.42512260000000002</v>
      </c>
      <c r="D62" s="200">
        <v>0</v>
      </c>
      <c r="E62" s="200">
        <v>0.42512260000000002</v>
      </c>
    </row>
    <row r="63" spans="1:8">
      <c r="A63" s="199" t="s">
        <v>292</v>
      </c>
      <c r="B63" s="200">
        <v>6.0572499999999998</v>
      </c>
      <c r="C63" s="200">
        <v>3.5296000000000003</v>
      </c>
      <c r="D63" s="200">
        <v>1.24912544</v>
      </c>
      <c r="E63" s="200">
        <v>2.28047456</v>
      </c>
      <c r="G63" s="201">
        <f>G64/F64</f>
        <v>0.17130395843136792</v>
      </c>
      <c r="H63" s="201">
        <f>H64/F64</f>
        <v>0.82869604156863208</v>
      </c>
    </row>
    <row r="64" spans="1:8">
      <c r="A64" s="199" t="s">
        <v>295</v>
      </c>
      <c r="B64" s="200">
        <v>68.172290000000004</v>
      </c>
      <c r="C64" s="200">
        <v>8.4433990000000012</v>
      </c>
      <c r="D64" s="200">
        <v>0.45087750660000009</v>
      </c>
      <c r="E64" s="200">
        <v>7.9925214934000008</v>
      </c>
      <c r="F64">
        <f>SUM(C39:C64)</f>
        <v>117.19668396</v>
      </c>
      <c r="G64">
        <f>SUM(D39:D64)</f>
        <v>20.076255877378003</v>
      </c>
      <c r="H64">
        <f>SUM(E39:E64)</f>
        <v>97.120428082621999</v>
      </c>
    </row>
    <row r="65" spans="1:5">
      <c r="A65" s="198" t="s">
        <v>318</v>
      </c>
      <c r="B65" s="200">
        <v>16.212708999999997</v>
      </c>
      <c r="C65" s="200">
        <v>16.212693000000002</v>
      </c>
      <c r="D65" s="200">
        <v>9.0807293493000021</v>
      </c>
      <c r="E65" s="200">
        <v>8.2019817631999992</v>
      </c>
    </row>
    <row r="66" spans="1:5">
      <c r="A66" s="199" t="s">
        <v>231</v>
      </c>
      <c r="B66" s="200">
        <v>0.92181899999999994</v>
      </c>
      <c r="C66" s="200">
        <v>0.92181939999999996</v>
      </c>
      <c r="D66" s="200">
        <v>0.92181939999999996</v>
      </c>
      <c r="E66" s="200">
        <v>0</v>
      </c>
    </row>
    <row r="67" spans="1:5">
      <c r="A67" s="199" t="s">
        <v>238</v>
      </c>
      <c r="B67" s="200">
        <v>4.4961690000000001</v>
      </c>
      <c r="C67" s="200">
        <v>4.4961715</v>
      </c>
      <c r="D67" s="200">
        <v>3.8028597402000002</v>
      </c>
      <c r="E67" s="200">
        <v>0.69330925979999991</v>
      </c>
    </row>
    <row r="68" spans="1:5">
      <c r="A68" s="199" t="s">
        <v>36</v>
      </c>
      <c r="B68" s="200">
        <v>6.0354999999999999</v>
      </c>
      <c r="C68" s="200">
        <v>6.0354999999999999</v>
      </c>
      <c r="D68" s="200">
        <v>1.53844895</v>
      </c>
      <c r="E68" s="200">
        <v>4.4970510499999996</v>
      </c>
    </row>
    <row r="69" spans="1:5">
      <c r="A69" s="199" t="s">
        <v>240</v>
      </c>
      <c r="B69" s="200">
        <v>16.212708999999997</v>
      </c>
      <c r="C69" s="200">
        <v>16.212693000000002</v>
      </c>
      <c r="D69" s="200">
        <v>9.0807293493000021</v>
      </c>
      <c r="E69" s="200">
        <v>7.1319636506999995</v>
      </c>
    </row>
    <row r="70" spans="1:5">
      <c r="A70" s="199" t="s">
        <v>246</v>
      </c>
      <c r="B70" s="200">
        <v>6.4680589600000005</v>
      </c>
      <c r="C70" s="200">
        <v>6.4680583600000006</v>
      </c>
      <c r="D70" s="200">
        <v>1.7379672813320002</v>
      </c>
      <c r="E70" s="200">
        <v>4.7300910786679999</v>
      </c>
    </row>
    <row r="71" spans="1:5">
      <c r="A71" s="199" t="s">
        <v>249</v>
      </c>
      <c r="B71" s="200">
        <v>4.8544600000000004</v>
      </c>
      <c r="C71" s="200">
        <v>4.8544559999999999</v>
      </c>
      <c r="D71" s="200">
        <v>4.0350238271999999</v>
      </c>
      <c r="E71" s="200">
        <v>0.81943217280000002</v>
      </c>
    </row>
    <row r="72" spans="1:5">
      <c r="A72" s="199" t="s">
        <v>252</v>
      </c>
      <c r="B72" s="200">
        <v>2.435546</v>
      </c>
      <c r="C72" s="200">
        <v>2.4355495999999999</v>
      </c>
      <c r="D72" s="200">
        <v>2.4355495999999999</v>
      </c>
      <c r="E72" s="200">
        <v>0</v>
      </c>
    </row>
    <row r="73" spans="1:5">
      <c r="A73" s="199" t="s">
        <v>255</v>
      </c>
      <c r="B73" s="200">
        <v>5.5989100000000001</v>
      </c>
      <c r="C73" s="200">
        <v>5.598908999999999</v>
      </c>
      <c r="D73" s="200">
        <v>1.7686953530999998</v>
      </c>
      <c r="E73" s="200">
        <v>3.830213646899999</v>
      </c>
    </row>
    <row r="74" spans="1:5">
      <c r="A74" s="199" t="s">
        <v>256</v>
      </c>
      <c r="B74" s="200">
        <v>4.1097300000000008</v>
      </c>
      <c r="C74" s="200">
        <v>4.109723100000001</v>
      </c>
      <c r="D74" s="200">
        <v>3.372438775860001</v>
      </c>
      <c r="E74" s="200">
        <v>0.73728432414</v>
      </c>
    </row>
    <row r="75" spans="1:5">
      <c r="A75" s="199" t="s">
        <v>257</v>
      </c>
      <c r="B75" s="200">
        <v>7.825704</v>
      </c>
      <c r="C75" s="200">
        <v>7.8257067499999993</v>
      </c>
      <c r="D75" s="200">
        <v>2.9135106230250001</v>
      </c>
      <c r="E75" s="200">
        <v>4.9121961269749992</v>
      </c>
    </row>
    <row r="76" spans="1:5">
      <c r="A76" s="199" t="s">
        <v>258</v>
      </c>
      <c r="B76" s="200">
        <v>0.85608099999999998</v>
      </c>
      <c r="C76" s="200">
        <v>0.85608099999999998</v>
      </c>
      <c r="D76" s="200">
        <v>0.85608099999999998</v>
      </c>
      <c r="E76" s="200">
        <v>0</v>
      </c>
    </row>
    <row r="77" spans="1:5">
      <c r="A77" s="199" t="s">
        <v>259</v>
      </c>
      <c r="B77" s="200">
        <v>4.6444069999999993</v>
      </c>
      <c r="C77" s="200">
        <v>4.6444090000000005</v>
      </c>
      <c r="D77" s="200">
        <v>2.3644686219000004</v>
      </c>
      <c r="E77" s="200">
        <v>2.2799403781000001</v>
      </c>
    </row>
    <row r="78" spans="1:5">
      <c r="A78" s="199" t="s">
        <v>260</v>
      </c>
      <c r="B78" s="200">
        <v>11.300230000000001</v>
      </c>
      <c r="C78" s="200">
        <v>11.300229999999999</v>
      </c>
      <c r="D78" s="200">
        <v>6.6626156079999994</v>
      </c>
      <c r="E78" s="200">
        <v>4.6376143919999997</v>
      </c>
    </row>
    <row r="79" spans="1:5">
      <c r="A79" s="199" t="s">
        <v>262</v>
      </c>
      <c r="B79" s="200">
        <v>1.5565789999999997</v>
      </c>
      <c r="C79" s="200">
        <v>1.55657954</v>
      </c>
      <c r="D79" s="200">
        <v>1.2546031092400001</v>
      </c>
      <c r="E79" s="200">
        <v>0.30197643075999991</v>
      </c>
    </row>
    <row r="80" spans="1:5">
      <c r="A80" s="199" t="s">
        <v>264</v>
      </c>
      <c r="B80" s="200">
        <v>1.2244496</v>
      </c>
      <c r="C80" s="200">
        <v>1.2244516000000001</v>
      </c>
      <c r="D80" s="200">
        <v>1.2244516000000001</v>
      </c>
      <c r="E80" s="200">
        <v>0</v>
      </c>
    </row>
    <row r="81" spans="1:8">
      <c r="A81" s="199" t="s">
        <v>265</v>
      </c>
      <c r="B81" s="200">
        <v>7.0120740000000001</v>
      </c>
      <c r="C81" s="200">
        <v>7.0120693000000003</v>
      </c>
      <c r="D81" s="200">
        <v>3.4338103362100001</v>
      </c>
      <c r="E81" s="200">
        <v>3.5782589637900002</v>
      </c>
    </row>
    <row r="82" spans="1:8">
      <c r="A82" s="199" t="s">
        <v>270</v>
      </c>
      <c r="B82" s="200">
        <v>5.9104000000000001</v>
      </c>
      <c r="C82" s="200">
        <v>5.9104041</v>
      </c>
      <c r="D82" s="200">
        <v>1.12120365777</v>
      </c>
      <c r="E82" s="200">
        <v>4.7892004422300003</v>
      </c>
    </row>
    <row r="83" spans="1:8">
      <c r="A83" s="199" t="s">
        <v>274</v>
      </c>
      <c r="B83" s="200">
        <v>9.1214209999999998</v>
      </c>
      <c r="C83" s="200">
        <v>9.1214209999999998</v>
      </c>
      <c r="D83" s="200">
        <v>0.91943923679999995</v>
      </c>
      <c r="E83" s="200">
        <v>8.2019817631999992</v>
      </c>
    </row>
    <row r="84" spans="1:8">
      <c r="A84" s="199" t="s">
        <v>275</v>
      </c>
      <c r="B84" s="200">
        <v>0.90195999999999987</v>
      </c>
      <c r="C84" s="200">
        <v>0.90196040000000011</v>
      </c>
      <c r="D84" s="200">
        <v>0.71462322492000008</v>
      </c>
      <c r="E84" s="200">
        <v>0.18733717508000003</v>
      </c>
    </row>
    <row r="85" spans="1:8">
      <c r="A85" s="199" t="s">
        <v>229</v>
      </c>
      <c r="B85" s="200">
        <v>7.5422400000000005</v>
      </c>
      <c r="C85" s="200">
        <v>7.5422371800000008</v>
      </c>
      <c r="D85" s="200">
        <v>5.1324924009900004</v>
      </c>
      <c r="E85" s="200">
        <v>2.4097447790100004</v>
      </c>
    </row>
    <row r="86" spans="1:8">
      <c r="A86" s="199" t="s">
        <v>277</v>
      </c>
      <c r="B86" s="200">
        <v>3.3693600000000004</v>
      </c>
      <c r="C86" s="200">
        <v>3.3693574999999996</v>
      </c>
      <c r="D86" s="200">
        <v>2.2224282069999997</v>
      </c>
      <c r="E86" s="200">
        <v>1.1469292929999999</v>
      </c>
    </row>
    <row r="87" spans="1:8">
      <c r="A87" s="199" t="s">
        <v>281</v>
      </c>
      <c r="B87" s="200">
        <v>0.95994999999999997</v>
      </c>
      <c r="C87" s="200">
        <v>0.95995000000000008</v>
      </c>
      <c r="D87" s="200">
        <v>0.95995000000000008</v>
      </c>
      <c r="E87" s="200">
        <v>0</v>
      </c>
    </row>
    <row r="88" spans="1:8">
      <c r="A88" s="199" t="s">
        <v>283</v>
      </c>
      <c r="B88" s="200">
        <v>1.9087670000000001</v>
      </c>
      <c r="C88" s="200">
        <v>1.9087689999999999</v>
      </c>
      <c r="D88" s="200">
        <v>1.5375134294999999</v>
      </c>
      <c r="E88" s="200">
        <v>0.37125557050000002</v>
      </c>
    </row>
    <row r="89" spans="1:8">
      <c r="A89" s="199" t="s">
        <v>286</v>
      </c>
      <c r="B89" s="200">
        <v>1.6084234000000002</v>
      </c>
      <c r="C89" s="200">
        <v>1.6084234000000002</v>
      </c>
      <c r="D89" s="200">
        <v>1.6084234000000002</v>
      </c>
      <c r="E89" s="200">
        <v>0</v>
      </c>
    </row>
    <row r="90" spans="1:8">
      <c r="A90" s="199" t="s">
        <v>287</v>
      </c>
      <c r="B90" s="200">
        <v>1.2039124999999999</v>
      </c>
      <c r="C90" s="200">
        <v>1.2039122999999998</v>
      </c>
      <c r="D90" s="200">
        <v>1.2039122999999998</v>
      </c>
      <c r="E90" s="200">
        <v>0</v>
      </c>
    </row>
    <row r="91" spans="1:8">
      <c r="A91" s="199" t="s">
        <v>293</v>
      </c>
      <c r="B91" s="200">
        <v>4.9821840000000002</v>
      </c>
      <c r="C91" s="200">
        <v>4.9821843000000001</v>
      </c>
      <c r="D91" s="200">
        <v>2.2295274742500002</v>
      </c>
      <c r="E91" s="200">
        <v>2.7526568257499999</v>
      </c>
      <c r="G91" s="201">
        <f>G92/F92</f>
        <v>0.53344086501455357</v>
      </c>
      <c r="H91" s="201">
        <f>H92/F92</f>
        <v>0.46655911487806462</v>
      </c>
    </row>
    <row r="92" spans="1:8">
      <c r="A92" s="199" t="s">
        <v>296</v>
      </c>
      <c r="B92" s="200">
        <v>1.2714216</v>
      </c>
      <c r="C92" s="200">
        <v>1.2714226</v>
      </c>
      <c r="D92" s="200">
        <v>1.2714226</v>
      </c>
      <c r="E92" s="200">
        <v>0</v>
      </c>
      <c r="F92">
        <f>SUM(C66:C92)</f>
        <v>124.33244893000001</v>
      </c>
      <c r="G92">
        <f t="shared" ref="G92:H92" si="2">SUM(D66:D92)</f>
        <v>66.324009106597018</v>
      </c>
      <c r="H92">
        <f t="shared" si="2"/>
        <v>58.00843732340298</v>
      </c>
    </row>
    <row r="93" spans="1:8">
      <c r="A93" s="198" t="s">
        <v>321</v>
      </c>
      <c r="B93" s="200">
        <v>68.172290000000004</v>
      </c>
      <c r="C93" s="200">
        <v>61.894809200000005</v>
      </c>
      <c r="D93" s="200">
        <v>34.3825665106</v>
      </c>
      <c r="E93" s="200">
        <v>39.434024855200001</v>
      </c>
    </row>
    <row r="94" spans="1:8">
      <c r="G94" s="205">
        <f>G95/F95</f>
        <v>0.27680858086594579</v>
      </c>
      <c r="H94" s="205">
        <f>H95/F95</f>
        <v>0.7231914067723898</v>
      </c>
    </row>
    <row r="95" spans="1:8">
      <c r="F95">
        <f>SUM(F5:F94)</f>
        <v>814.61520191999989</v>
      </c>
      <c r="G95">
        <f>G92+G64+G37+G6</f>
        <v>225.49247799530104</v>
      </c>
      <c r="H95">
        <f>H92+H64+H37+H6</f>
        <v>589.1227138546991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28441-987A-4656-9B50-F7770D63538A}">
  <dimension ref="A3:H95"/>
  <sheetViews>
    <sheetView topLeftCell="A46" workbookViewId="0">
      <selection activeCell="E53" sqref="E53"/>
    </sheetView>
  </sheetViews>
  <sheetFormatPr defaultRowHeight="15"/>
  <cols>
    <col min="1" max="1" width="24.5703125" bestFit="1" customWidth="1"/>
    <col min="2" max="2" width="26.7109375" bestFit="1" customWidth="1"/>
    <col min="3" max="3" width="32" bestFit="1" customWidth="1"/>
    <col min="4" max="4" width="20.140625" bestFit="1" customWidth="1"/>
    <col min="5" max="5" width="27.28515625" bestFit="1" customWidth="1"/>
  </cols>
  <sheetData>
    <row r="3" spans="1:8">
      <c r="A3" s="197" t="s">
        <v>320</v>
      </c>
      <c r="B3" t="s">
        <v>322</v>
      </c>
      <c r="C3" t="s">
        <v>323</v>
      </c>
      <c r="D3" t="s">
        <v>324</v>
      </c>
    </row>
    <row r="4" spans="1:8">
      <c r="A4" s="198" t="s">
        <v>299</v>
      </c>
      <c r="B4" s="200">
        <v>4.75</v>
      </c>
      <c r="C4" s="200">
        <v>3.6666666666666665</v>
      </c>
      <c r="D4" s="200">
        <v>24</v>
      </c>
    </row>
    <row r="5" spans="1:8">
      <c r="A5" s="199" t="s">
        <v>44</v>
      </c>
      <c r="B5" s="200">
        <v>4.75</v>
      </c>
      <c r="C5" s="200">
        <v>3.6666666666666665</v>
      </c>
      <c r="D5" s="200">
        <v>24</v>
      </c>
      <c r="G5" s="201">
        <f>G6/F6</f>
        <v>6.5454545454545459</v>
      </c>
      <c r="H5" s="201">
        <f>H6/F6</f>
        <v>0</v>
      </c>
    </row>
    <row r="6" spans="1:8">
      <c r="A6" s="199" t="s">
        <v>45</v>
      </c>
      <c r="B6" s="200">
        <v>4.75</v>
      </c>
      <c r="C6" s="200">
        <v>3.6666666666666665</v>
      </c>
      <c r="D6" s="200">
        <v>24</v>
      </c>
      <c r="F6">
        <f>SUM(C5:C6)</f>
        <v>7.333333333333333</v>
      </c>
      <c r="G6">
        <f t="shared" ref="G6:H6" si="0">SUM(D5:D6)</f>
        <v>48</v>
      </c>
      <c r="H6">
        <f t="shared" si="0"/>
        <v>0</v>
      </c>
    </row>
    <row r="7" spans="1:8">
      <c r="A7" s="198" t="s">
        <v>315</v>
      </c>
      <c r="B7" s="200">
        <v>4.3583333333333334</v>
      </c>
      <c r="C7" s="200">
        <v>3.6666666666666683</v>
      </c>
      <c r="D7" s="200">
        <v>6</v>
      </c>
    </row>
    <row r="8" spans="1:8">
      <c r="A8" s="199" t="s">
        <v>49</v>
      </c>
      <c r="B8" s="200">
        <v>4.5</v>
      </c>
      <c r="C8" s="200">
        <v>3.6666666666666665</v>
      </c>
      <c r="D8" s="200">
        <v>6</v>
      </c>
    </row>
    <row r="9" spans="1:8">
      <c r="A9" s="199" t="s">
        <v>34</v>
      </c>
      <c r="B9" s="200">
        <v>4.5</v>
      </c>
      <c r="C9" s="200">
        <v>3.6666666666666665</v>
      </c>
      <c r="D9" s="200">
        <v>6</v>
      </c>
    </row>
    <row r="10" spans="1:8">
      <c r="A10" s="199" t="s">
        <v>233</v>
      </c>
      <c r="B10" s="200">
        <v>4.75</v>
      </c>
      <c r="C10" s="200">
        <v>3.6666666666666665</v>
      </c>
      <c r="D10" s="200">
        <v>6</v>
      </c>
    </row>
    <row r="11" spans="1:8">
      <c r="A11" s="199" t="s">
        <v>235</v>
      </c>
      <c r="B11" s="200">
        <v>4.25</v>
      </c>
      <c r="C11" s="200">
        <v>3.6666666666666665</v>
      </c>
      <c r="D11" s="200">
        <v>6</v>
      </c>
    </row>
    <row r="12" spans="1:8">
      <c r="A12" s="199" t="s">
        <v>237</v>
      </c>
      <c r="B12" s="200">
        <v>4.25</v>
      </c>
      <c r="C12" s="200">
        <v>3.6666666666666665</v>
      </c>
      <c r="D12" s="200">
        <v>6</v>
      </c>
    </row>
    <row r="13" spans="1:8">
      <c r="A13" s="199" t="s">
        <v>35</v>
      </c>
      <c r="B13" s="200">
        <v>4.75</v>
      </c>
      <c r="C13" s="200">
        <v>3.6666666666666665</v>
      </c>
      <c r="D13" s="200">
        <v>6</v>
      </c>
    </row>
    <row r="14" spans="1:8">
      <c r="A14" s="199" t="s">
        <v>37</v>
      </c>
      <c r="B14" s="200">
        <v>4.75</v>
      </c>
      <c r="C14" s="200">
        <v>3.6666666666666665</v>
      </c>
      <c r="D14" s="200">
        <v>6</v>
      </c>
    </row>
    <row r="15" spans="1:8">
      <c r="A15" s="199" t="s">
        <v>38</v>
      </c>
      <c r="B15" s="200">
        <v>4.25</v>
      </c>
      <c r="C15" s="200">
        <v>3.6666666666666665</v>
      </c>
      <c r="D15" s="200">
        <v>6</v>
      </c>
    </row>
    <row r="16" spans="1:8">
      <c r="A16" s="199" t="s">
        <v>39</v>
      </c>
      <c r="B16" s="200">
        <v>4</v>
      </c>
      <c r="C16" s="200">
        <v>3.6666666666666665</v>
      </c>
      <c r="D16" s="200">
        <v>6</v>
      </c>
    </row>
    <row r="17" spans="1:4">
      <c r="A17" s="199" t="s">
        <v>239</v>
      </c>
      <c r="B17" s="200">
        <v>4</v>
      </c>
      <c r="C17" s="200">
        <v>3.6666666666666665</v>
      </c>
      <c r="D17" s="200">
        <v>6</v>
      </c>
    </row>
    <row r="18" spans="1:4">
      <c r="A18" s="199" t="s">
        <v>40</v>
      </c>
      <c r="B18" s="200">
        <v>4.75</v>
      </c>
      <c r="C18" s="200">
        <v>3.6666666666666665</v>
      </c>
      <c r="D18" s="200">
        <v>6</v>
      </c>
    </row>
    <row r="19" spans="1:4">
      <c r="A19" s="199" t="s">
        <v>244</v>
      </c>
      <c r="B19" s="200">
        <v>4.25</v>
      </c>
      <c r="C19" s="200">
        <v>3.6666666666666665</v>
      </c>
      <c r="D19" s="200">
        <v>6</v>
      </c>
    </row>
    <row r="20" spans="1:4">
      <c r="A20" s="199" t="s">
        <v>247</v>
      </c>
      <c r="B20" s="200">
        <v>4</v>
      </c>
      <c r="C20" s="200">
        <v>3.6666666666666665</v>
      </c>
      <c r="D20" s="200">
        <v>6</v>
      </c>
    </row>
    <row r="21" spans="1:4">
      <c r="A21" s="199" t="s">
        <v>41</v>
      </c>
      <c r="B21" s="200">
        <v>4.5</v>
      </c>
      <c r="C21" s="200">
        <v>3.6666666666666665</v>
      </c>
      <c r="D21" s="200">
        <v>6</v>
      </c>
    </row>
    <row r="22" spans="1:4">
      <c r="A22" s="199" t="s">
        <v>261</v>
      </c>
      <c r="B22" s="200">
        <v>4.5</v>
      </c>
      <c r="C22" s="200">
        <v>3.6666666666666665</v>
      </c>
      <c r="D22" s="200">
        <v>6</v>
      </c>
    </row>
    <row r="23" spans="1:4">
      <c r="A23" s="199" t="s">
        <v>263</v>
      </c>
      <c r="B23" s="200">
        <v>4.5</v>
      </c>
      <c r="C23" s="200">
        <v>3.6666666666666665</v>
      </c>
      <c r="D23" s="200">
        <v>6</v>
      </c>
    </row>
    <row r="24" spans="1:4">
      <c r="A24" s="199" t="s">
        <v>43</v>
      </c>
      <c r="B24" s="200">
        <v>4.75</v>
      </c>
      <c r="C24" s="200">
        <v>3.6666666666666665</v>
      </c>
      <c r="D24" s="200">
        <v>6</v>
      </c>
    </row>
    <row r="25" spans="1:4">
      <c r="A25" s="199" t="s">
        <v>266</v>
      </c>
      <c r="B25" s="200">
        <v>4</v>
      </c>
      <c r="C25" s="200">
        <v>3.6666666666666665</v>
      </c>
      <c r="D25" s="200">
        <v>6</v>
      </c>
    </row>
    <row r="26" spans="1:4">
      <c r="A26" s="199" t="s">
        <v>269</v>
      </c>
      <c r="B26" s="200">
        <v>4.5</v>
      </c>
      <c r="C26" s="200">
        <v>3.6666666666666665</v>
      </c>
      <c r="D26" s="200">
        <v>6</v>
      </c>
    </row>
    <row r="27" spans="1:4">
      <c r="A27" s="199" t="s">
        <v>46</v>
      </c>
      <c r="B27" s="200">
        <v>4.25</v>
      </c>
      <c r="C27" s="200">
        <v>3.6666666666666665</v>
      </c>
      <c r="D27" s="200">
        <v>6</v>
      </c>
    </row>
    <row r="28" spans="1:4">
      <c r="A28" s="199" t="s">
        <v>47</v>
      </c>
      <c r="B28" s="200">
        <v>4.25</v>
      </c>
      <c r="C28" s="200">
        <v>3.6666666666666665</v>
      </c>
      <c r="D28" s="200">
        <v>6</v>
      </c>
    </row>
    <row r="29" spans="1:4">
      <c r="A29" s="199" t="s">
        <v>278</v>
      </c>
      <c r="B29" s="200">
        <v>4.5</v>
      </c>
      <c r="C29" s="200">
        <v>3.6666666666666665</v>
      </c>
      <c r="D29" s="200">
        <v>6</v>
      </c>
    </row>
    <row r="30" spans="1:4">
      <c r="A30" s="199" t="s">
        <v>48</v>
      </c>
      <c r="B30" s="200">
        <v>4.25</v>
      </c>
      <c r="C30" s="200">
        <v>3.6666666666666665</v>
      </c>
      <c r="D30" s="200">
        <v>6</v>
      </c>
    </row>
    <row r="31" spans="1:4">
      <c r="A31" s="199" t="s">
        <v>285</v>
      </c>
      <c r="B31" s="200">
        <v>4</v>
      </c>
      <c r="C31" s="200">
        <v>3.6666666666666665</v>
      </c>
      <c r="D31" s="200">
        <v>6</v>
      </c>
    </row>
    <row r="32" spans="1:4">
      <c r="A32" s="199" t="s">
        <v>298</v>
      </c>
      <c r="B32" s="200">
        <v>4.25</v>
      </c>
      <c r="C32" s="200">
        <v>3.6666666666666665</v>
      </c>
      <c r="D32" s="200">
        <v>6</v>
      </c>
    </row>
    <row r="33" spans="1:8">
      <c r="A33" s="199" t="s">
        <v>289</v>
      </c>
      <c r="B33" s="200">
        <v>4.5</v>
      </c>
      <c r="C33" s="200">
        <v>3.6666666666666665</v>
      </c>
      <c r="D33" s="200">
        <v>6</v>
      </c>
    </row>
    <row r="34" spans="1:8">
      <c r="A34" s="199" t="s">
        <v>290</v>
      </c>
      <c r="B34" s="200">
        <v>4</v>
      </c>
      <c r="C34" s="200">
        <v>3.6666666666666665</v>
      </c>
      <c r="D34" s="200">
        <v>6</v>
      </c>
    </row>
    <row r="35" spans="1:8">
      <c r="A35" s="199" t="s">
        <v>291</v>
      </c>
      <c r="B35" s="200">
        <v>4.25</v>
      </c>
      <c r="C35" s="200">
        <v>3.6666666666666665</v>
      </c>
      <c r="D35" s="200">
        <v>6</v>
      </c>
    </row>
    <row r="36" spans="1:8">
      <c r="A36" s="199" t="s">
        <v>294</v>
      </c>
      <c r="B36" s="200">
        <v>4.5</v>
      </c>
      <c r="C36" s="200">
        <v>3.6666666666666665</v>
      </c>
      <c r="D36" s="200">
        <v>6</v>
      </c>
      <c r="G36" s="201">
        <f>G37/F37</f>
        <v>1.6363636363636358</v>
      </c>
      <c r="H36" s="201">
        <f>H37/F37</f>
        <v>0</v>
      </c>
    </row>
    <row r="37" spans="1:8">
      <c r="A37" s="199" t="s">
        <v>297</v>
      </c>
      <c r="B37" s="200">
        <v>4.25</v>
      </c>
      <c r="C37" s="200">
        <v>3.6666666666666665</v>
      </c>
      <c r="D37" s="200">
        <v>6</v>
      </c>
      <c r="F37">
        <f>SUM(C8:C37)</f>
        <v>110.00000000000004</v>
      </c>
      <c r="G37">
        <f t="shared" ref="G37:H37" si="1">SUM(D8:D37)</f>
        <v>180</v>
      </c>
      <c r="H37">
        <f t="shared" si="1"/>
        <v>0</v>
      </c>
    </row>
    <row r="38" spans="1:8">
      <c r="A38" s="198" t="s">
        <v>316</v>
      </c>
      <c r="B38" s="200">
        <v>3.2019230769230771</v>
      </c>
      <c r="C38" s="200">
        <v>3.6666666666666674</v>
      </c>
      <c r="D38" s="200">
        <v>6</v>
      </c>
    </row>
    <row r="39" spans="1:8">
      <c r="A39" s="199" t="s">
        <v>232</v>
      </c>
      <c r="B39" s="200">
        <v>4.5</v>
      </c>
      <c r="C39" s="200">
        <v>3.6666666666666665</v>
      </c>
      <c r="D39" s="200">
        <v>6</v>
      </c>
    </row>
    <row r="40" spans="1:8">
      <c r="A40" s="199" t="s">
        <v>234</v>
      </c>
      <c r="B40" s="200">
        <v>2.5</v>
      </c>
      <c r="C40" s="200">
        <v>3.6666666666666665</v>
      </c>
      <c r="D40" s="200">
        <v>6</v>
      </c>
    </row>
    <row r="41" spans="1:8">
      <c r="A41" s="199" t="s">
        <v>236</v>
      </c>
      <c r="B41" s="200">
        <v>4</v>
      </c>
      <c r="C41" s="200">
        <v>3.6666666666666665</v>
      </c>
      <c r="D41" s="200">
        <v>6</v>
      </c>
    </row>
    <row r="42" spans="1:8">
      <c r="A42" s="199" t="s">
        <v>241</v>
      </c>
      <c r="B42" s="200">
        <v>4</v>
      </c>
      <c r="C42" s="200">
        <v>3.6666666666666665</v>
      </c>
      <c r="D42" s="200">
        <v>6</v>
      </c>
    </row>
    <row r="43" spans="1:8">
      <c r="A43" s="199" t="s">
        <v>242</v>
      </c>
      <c r="B43" s="200">
        <v>3.5</v>
      </c>
      <c r="C43" s="200">
        <v>3.6666666666666665</v>
      </c>
      <c r="D43" s="200">
        <v>6</v>
      </c>
    </row>
    <row r="44" spans="1:8">
      <c r="A44" s="199" t="s">
        <v>243</v>
      </c>
      <c r="B44" s="200">
        <v>3.5</v>
      </c>
      <c r="C44" s="200">
        <v>3.6666666666666665</v>
      </c>
      <c r="D44" s="200">
        <v>6</v>
      </c>
    </row>
    <row r="45" spans="1:8">
      <c r="A45" s="199" t="s">
        <v>245</v>
      </c>
      <c r="B45" s="200">
        <v>2.5</v>
      </c>
      <c r="C45" s="200">
        <v>3.6666666666666665</v>
      </c>
      <c r="D45" s="200">
        <v>6</v>
      </c>
    </row>
    <row r="46" spans="1:8">
      <c r="A46" s="199" t="s">
        <v>248</v>
      </c>
      <c r="B46" s="200">
        <v>2.5</v>
      </c>
      <c r="C46" s="200">
        <v>3.6666666666666665</v>
      </c>
      <c r="D46" s="200">
        <v>6</v>
      </c>
    </row>
    <row r="47" spans="1:8">
      <c r="A47" s="199" t="s">
        <v>250</v>
      </c>
      <c r="B47" s="200">
        <v>4.75</v>
      </c>
      <c r="C47" s="200">
        <v>3.6666666666666665</v>
      </c>
      <c r="D47" s="200">
        <v>6</v>
      </c>
    </row>
    <row r="48" spans="1:8">
      <c r="A48" s="199" t="s">
        <v>251</v>
      </c>
      <c r="B48" s="200">
        <v>2.5</v>
      </c>
      <c r="C48" s="200">
        <v>3.6666666666666665</v>
      </c>
      <c r="D48" s="200">
        <v>6</v>
      </c>
    </row>
    <row r="49" spans="1:8">
      <c r="A49" s="199" t="s">
        <v>253</v>
      </c>
      <c r="B49" s="200">
        <v>2.5</v>
      </c>
      <c r="C49" s="200">
        <v>3.6666666666666665</v>
      </c>
      <c r="D49" s="200">
        <v>6</v>
      </c>
    </row>
    <row r="50" spans="1:8">
      <c r="A50" s="199" t="s">
        <v>42</v>
      </c>
      <c r="B50" s="200">
        <v>3.25</v>
      </c>
      <c r="C50" s="200">
        <v>3.6666666666666665</v>
      </c>
      <c r="D50" s="200">
        <v>6</v>
      </c>
    </row>
    <row r="51" spans="1:8">
      <c r="A51" s="199" t="s">
        <v>254</v>
      </c>
      <c r="B51" s="200">
        <v>3</v>
      </c>
      <c r="C51" s="200">
        <v>3.6666666666666665</v>
      </c>
      <c r="D51" s="200">
        <v>6</v>
      </c>
    </row>
    <row r="52" spans="1:8">
      <c r="A52" s="199" t="s">
        <v>267</v>
      </c>
      <c r="B52" s="200">
        <v>2.5</v>
      </c>
      <c r="C52" s="200">
        <v>3.6666666666666665</v>
      </c>
      <c r="D52" s="200">
        <v>6</v>
      </c>
    </row>
    <row r="53" spans="1:8">
      <c r="A53" s="199" t="s">
        <v>268</v>
      </c>
      <c r="B53" s="200">
        <v>3.5</v>
      </c>
      <c r="C53" s="200">
        <v>3.6666666666666665</v>
      </c>
      <c r="D53" s="200">
        <v>6</v>
      </c>
    </row>
    <row r="54" spans="1:8">
      <c r="A54" s="199" t="s">
        <v>271</v>
      </c>
      <c r="B54" s="200">
        <v>2.5</v>
      </c>
      <c r="C54" s="200">
        <v>3.6666666666666665</v>
      </c>
      <c r="D54" s="200">
        <v>6</v>
      </c>
    </row>
    <row r="55" spans="1:8">
      <c r="A55" s="199" t="s">
        <v>272</v>
      </c>
      <c r="B55" s="200">
        <v>4.25</v>
      </c>
      <c r="C55" s="200">
        <v>3.6666666666666665</v>
      </c>
      <c r="D55" s="200">
        <v>6</v>
      </c>
    </row>
    <row r="56" spans="1:8">
      <c r="A56" s="199" t="s">
        <v>273</v>
      </c>
      <c r="B56" s="200">
        <v>2.5</v>
      </c>
      <c r="C56" s="200">
        <v>3.6666666666666665</v>
      </c>
      <c r="D56" s="200">
        <v>6</v>
      </c>
    </row>
    <row r="57" spans="1:8">
      <c r="A57" s="199" t="s">
        <v>276</v>
      </c>
      <c r="B57" s="200">
        <v>2</v>
      </c>
      <c r="C57" s="200">
        <v>3.6666666666666665</v>
      </c>
      <c r="D57" s="200">
        <v>6</v>
      </c>
    </row>
    <row r="58" spans="1:8">
      <c r="A58" s="199" t="s">
        <v>279</v>
      </c>
      <c r="B58" s="200">
        <v>3.5</v>
      </c>
      <c r="C58" s="200">
        <v>3.6666666666666665</v>
      </c>
      <c r="D58" s="200">
        <v>6</v>
      </c>
    </row>
    <row r="59" spans="1:8">
      <c r="A59" s="199" t="s">
        <v>280</v>
      </c>
      <c r="B59" s="200">
        <v>4</v>
      </c>
      <c r="C59" s="200">
        <v>3.6666666666666665</v>
      </c>
      <c r="D59" s="200">
        <v>6</v>
      </c>
    </row>
    <row r="60" spans="1:8">
      <c r="A60" s="199" t="s">
        <v>282</v>
      </c>
      <c r="B60" s="200">
        <v>3.5</v>
      </c>
      <c r="C60" s="200">
        <v>3.6666666666666665</v>
      </c>
      <c r="D60" s="200">
        <v>6</v>
      </c>
    </row>
    <row r="61" spans="1:8">
      <c r="A61" s="199" t="s">
        <v>284</v>
      </c>
      <c r="B61" s="200">
        <v>2.5</v>
      </c>
      <c r="C61" s="200">
        <v>3.6666666666666665</v>
      </c>
      <c r="D61" s="200">
        <v>6</v>
      </c>
    </row>
    <row r="62" spans="1:8">
      <c r="A62" s="199" t="s">
        <v>288</v>
      </c>
      <c r="B62" s="200">
        <v>2</v>
      </c>
      <c r="C62" s="200">
        <v>3.6666666666666665</v>
      </c>
      <c r="D62" s="200">
        <v>6</v>
      </c>
    </row>
    <row r="63" spans="1:8">
      <c r="A63" s="199" t="s">
        <v>292</v>
      </c>
      <c r="B63" s="200">
        <v>4.75</v>
      </c>
      <c r="C63" s="200">
        <v>3.6666666666666665</v>
      </c>
      <c r="D63" s="200">
        <v>6</v>
      </c>
      <c r="G63" s="201">
        <f>G64/F64</f>
        <v>1.636363636363636</v>
      </c>
      <c r="H63" s="201">
        <f>H64/F64</f>
        <v>0</v>
      </c>
    </row>
    <row r="64" spans="1:8">
      <c r="A64" s="199" t="s">
        <v>295</v>
      </c>
      <c r="B64" s="200">
        <v>2.75</v>
      </c>
      <c r="C64" s="200">
        <v>3.6666666666666665</v>
      </c>
      <c r="D64" s="200">
        <v>6</v>
      </c>
      <c r="F64">
        <f>SUM(C39:C64)</f>
        <v>95.333333333333357</v>
      </c>
      <c r="G64">
        <f>SUM(D39:D64)</f>
        <v>156</v>
      </c>
      <c r="H64">
        <f>SUM(E39:E64)</f>
        <v>0</v>
      </c>
    </row>
    <row r="65" spans="1:4">
      <c r="A65" s="198" t="s">
        <v>318</v>
      </c>
      <c r="B65" s="200">
        <v>4.4259259259259256</v>
      </c>
      <c r="C65" s="200">
        <v>3.6666666666666679</v>
      </c>
      <c r="D65" s="200">
        <v>18</v>
      </c>
    </row>
    <row r="66" spans="1:4">
      <c r="A66" s="199" t="s">
        <v>231</v>
      </c>
      <c r="B66" s="200">
        <v>4</v>
      </c>
      <c r="C66" s="200">
        <v>3.6666666666666665</v>
      </c>
      <c r="D66" s="200">
        <v>18</v>
      </c>
    </row>
    <row r="67" spans="1:4">
      <c r="A67" s="199" t="s">
        <v>238</v>
      </c>
      <c r="B67" s="200">
        <v>4.5</v>
      </c>
      <c r="C67" s="200">
        <v>3.6666666666666665</v>
      </c>
      <c r="D67" s="200">
        <v>18</v>
      </c>
    </row>
    <row r="68" spans="1:4">
      <c r="A68" s="199" t="s">
        <v>36</v>
      </c>
      <c r="B68" s="200">
        <v>4.5</v>
      </c>
      <c r="C68" s="200">
        <v>3.6666666666666665</v>
      </c>
      <c r="D68" s="200">
        <v>18</v>
      </c>
    </row>
    <row r="69" spans="1:4">
      <c r="A69" s="199" t="s">
        <v>240</v>
      </c>
      <c r="B69" s="200">
        <v>4.75</v>
      </c>
      <c r="C69" s="200">
        <v>3.6666666666666665</v>
      </c>
      <c r="D69" s="200">
        <v>18</v>
      </c>
    </row>
    <row r="70" spans="1:4">
      <c r="A70" s="199" t="s">
        <v>246</v>
      </c>
      <c r="B70" s="200">
        <v>4.5</v>
      </c>
      <c r="C70" s="200">
        <v>3.6666666666666665</v>
      </c>
      <c r="D70" s="200">
        <v>18</v>
      </c>
    </row>
    <row r="71" spans="1:4">
      <c r="A71" s="199" t="s">
        <v>249</v>
      </c>
      <c r="B71" s="200">
        <v>4.5</v>
      </c>
      <c r="C71" s="200">
        <v>3.6666666666666665</v>
      </c>
      <c r="D71" s="200">
        <v>18</v>
      </c>
    </row>
    <row r="72" spans="1:4">
      <c r="A72" s="199" t="s">
        <v>252</v>
      </c>
      <c r="B72" s="200">
        <v>4</v>
      </c>
      <c r="C72" s="200">
        <v>3.6666666666666665</v>
      </c>
      <c r="D72" s="200">
        <v>18</v>
      </c>
    </row>
    <row r="73" spans="1:4">
      <c r="A73" s="199" t="s">
        <v>255</v>
      </c>
      <c r="B73" s="200">
        <v>4.75</v>
      </c>
      <c r="C73" s="200">
        <v>3.6666666666666665</v>
      </c>
      <c r="D73" s="200">
        <v>18</v>
      </c>
    </row>
    <row r="74" spans="1:4">
      <c r="A74" s="199" t="s">
        <v>256</v>
      </c>
      <c r="B74" s="200">
        <v>4.5</v>
      </c>
      <c r="C74" s="200">
        <v>3.6666666666666665</v>
      </c>
      <c r="D74" s="200">
        <v>18</v>
      </c>
    </row>
    <row r="75" spans="1:4">
      <c r="A75" s="199" t="s">
        <v>257</v>
      </c>
      <c r="B75" s="200">
        <v>4.75</v>
      </c>
      <c r="C75" s="200">
        <v>3.6666666666666665</v>
      </c>
      <c r="D75" s="200">
        <v>18</v>
      </c>
    </row>
    <row r="76" spans="1:4">
      <c r="A76" s="199" t="s">
        <v>258</v>
      </c>
      <c r="B76" s="200">
        <v>4</v>
      </c>
      <c r="C76" s="200">
        <v>3.6666666666666665</v>
      </c>
      <c r="D76" s="200">
        <v>18</v>
      </c>
    </row>
    <row r="77" spans="1:4">
      <c r="A77" s="199" t="s">
        <v>259</v>
      </c>
      <c r="B77" s="200">
        <v>4.75</v>
      </c>
      <c r="C77" s="200">
        <v>3.6666666666666665</v>
      </c>
      <c r="D77" s="200">
        <v>18</v>
      </c>
    </row>
    <row r="78" spans="1:4">
      <c r="A78" s="199" t="s">
        <v>260</v>
      </c>
      <c r="B78" s="200">
        <v>4.75</v>
      </c>
      <c r="C78" s="200">
        <v>3.6666666666666665</v>
      </c>
      <c r="D78" s="200">
        <v>18</v>
      </c>
    </row>
    <row r="79" spans="1:4">
      <c r="A79" s="199" t="s">
        <v>262</v>
      </c>
      <c r="B79" s="200">
        <v>4.5</v>
      </c>
      <c r="C79" s="200">
        <v>3.6666666666666665</v>
      </c>
      <c r="D79" s="200">
        <v>18</v>
      </c>
    </row>
    <row r="80" spans="1:4">
      <c r="A80" s="199" t="s">
        <v>264</v>
      </c>
      <c r="B80" s="200">
        <v>4</v>
      </c>
      <c r="C80" s="200">
        <v>3.6666666666666665</v>
      </c>
      <c r="D80" s="200">
        <v>18</v>
      </c>
    </row>
    <row r="81" spans="1:8">
      <c r="A81" s="199" t="s">
        <v>265</v>
      </c>
      <c r="B81" s="200">
        <v>4.75</v>
      </c>
      <c r="C81" s="200">
        <v>3.6666666666666665</v>
      </c>
      <c r="D81" s="200">
        <v>18</v>
      </c>
    </row>
    <row r="82" spans="1:8">
      <c r="A82" s="199" t="s">
        <v>270</v>
      </c>
      <c r="B82" s="200">
        <v>4.5</v>
      </c>
      <c r="C82" s="200">
        <v>3.6666666666666665</v>
      </c>
      <c r="D82" s="200">
        <v>18</v>
      </c>
    </row>
    <row r="83" spans="1:8">
      <c r="A83" s="199" t="s">
        <v>274</v>
      </c>
      <c r="B83" s="200">
        <v>4.25</v>
      </c>
      <c r="C83" s="200">
        <v>3.6666666666666665</v>
      </c>
      <c r="D83" s="200">
        <v>18</v>
      </c>
    </row>
    <row r="84" spans="1:8">
      <c r="A84" s="199" t="s">
        <v>275</v>
      </c>
      <c r="B84" s="200">
        <v>4.5</v>
      </c>
      <c r="C84" s="200">
        <v>3.6666666666666665</v>
      </c>
      <c r="D84" s="200">
        <v>18</v>
      </c>
    </row>
    <row r="85" spans="1:8">
      <c r="A85" s="199" t="s">
        <v>229</v>
      </c>
      <c r="B85" s="200">
        <v>4.75</v>
      </c>
      <c r="C85" s="200">
        <v>3.6666666666666665</v>
      </c>
      <c r="D85" s="200">
        <v>18</v>
      </c>
    </row>
    <row r="86" spans="1:8">
      <c r="A86" s="199" t="s">
        <v>277</v>
      </c>
      <c r="B86" s="200">
        <v>4.75</v>
      </c>
      <c r="C86" s="200">
        <v>3.6666666666666665</v>
      </c>
      <c r="D86" s="200">
        <v>18</v>
      </c>
    </row>
    <row r="87" spans="1:8">
      <c r="A87" s="199" t="s">
        <v>281</v>
      </c>
      <c r="B87" s="200">
        <v>4</v>
      </c>
      <c r="C87" s="200">
        <v>3.6666666666666665</v>
      </c>
      <c r="D87" s="200">
        <v>18</v>
      </c>
    </row>
    <row r="88" spans="1:8">
      <c r="A88" s="199" t="s">
        <v>283</v>
      </c>
      <c r="B88" s="200">
        <v>4.5</v>
      </c>
      <c r="C88" s="200">
        <v>3.6666666666666665</v>
      </c>
      <c r="D88" s="200">
        <v>18</v>
      </c>
    </row>
    <row r="89" spans="1:8">
      <c r="A89" s="199" t="s">
        <v>286</v>
      </c>
      <c r="B89" s="200">
        <v>4</v>
      </c>
      <c r="C89" s="200">
        <v>3.6666666666666665</v>
      </c>
      <c r="D89" s="200">
        <v>18</v>
      </c>
    </row>
    <row r="90" spans="1:8">
      <c r="A90" s="199" t="s">
        <v>287</v>
      </c>
      <c r="B90" s="200">
        <v>4</v>
      </c>
      <c r="C90" s="200">
        <v>3.6666666666666665</v>
      </c>
      <c r="D90" s="200">
        <v>18</v>
      </c>
    </row>
    <row r="91" spans="1:8">
      <c r="A91" s="199" t="s">
        <v>293</v>
      </c>
      <c r="B91" s="200">
        <v>4.75</v>
      </c>
      <c r="C91" s="200">
        <v>3.6666666666666665</v>
      </c>
      <c r="D91" s="200">
        <v>18</v>
      </c>
      <c r="G91" s="201">
        <f>G92/F92</f>
        <v>4.9090909090909074</v>
      </c>
      <c r="H91" s="201">
        <f>H92/F92</f>
        <v>0</v>
      </c>
    </row>
    <row r="92" spans="1:8">
      <c r="A92" s="199" t="s">
        <v>296</v>
      </c>
      <c r="B92" s="200">
        <v>4</v>
      </c>
      <c r="C92" s="200">
        <v>3.6666666666666665</v>
      </c>
      <c r="D92" s="200">
        <v>18</v>
      </c>
      <c r="F92">
        <f>SUM(C66:C92)</f>
        <v>99.000000000000028</v>
      </c>
      <c r="G92">
        <f t="shared" ref="G92:H92" si="2">SUM(D66:D92)</f>
        <v>486</v>
      </c>
      <c r="H92">
        <f t="shared" si="2"/>
        <v>0</v>
      </c>
    </row>
    <row r="93" spans="1:8">
      <c r="A93" s="198" t="s">
        <v>321</v>
      </c>
      <c r="B93" s="200">
        <v>4.0352941176470587</v>
      </c>
      <c r="C93" s="200">
        <v>3.666666666666667</v>
      </c>
      <c r="D93" s="200">
        <v>10.235294117647058</v>
      </c>
    </row>
    <row r="95" spans="1:8">
      <c r="F95">
        <f>SUM(F5:F94)</f>
        <v>311.66666666666674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Q90"/>
  <sheetViews>
    <sheetView topLeftCell="A5" zoomScale="85" zoomScaleNormal="85" workbookViewId="0">
      <selection activeCell="A5" sqref="A5:AQ90"/>
    </sheetView>
  </sheetViews>
  <sheetFormatPr defaultColWidth="9.140625" defaultRowHeight="15"/>
  <cols>
    <col min="1" max="1" width="23.28515625" style="1" customWidth="1"/>
    <col min="2" max="2" width="14.85546875" style="1" customWidth="1"/>
    <col min="3" max="3" width="12.7109375" style="22" customWidth="1"/>
    <col min="4" max="4" width="12.7109375" style="1" customWidth="1"/>
    <col min="5" max="6" width="20.7109375" style="1" customWidth="1"/>
    <col min="7" max="7" width="12.7109375" style="1" customWidth="1"/>
    <col min="8" max="8" width="16" style="8" customWidth="1"/>
    <col min="9" max="9" width="12.42578125" style="11" bestFit="1" customWidth="1"/>
    <col min="10" max="10" width="16" style="11" customWidth="1"/>
    <col min="11" max="11" width="16.85546875" style="8" customWidth="1"/>
    <col min="12" max="12" width="9.5703125" style="14" customWidth="1"/>
    <col min="13" max="13" width="12.7109375" style="1" customWidth="1"/>
    <col min="14" max="15" width="20.7109375" style="1" customWidth="1"/>
    <col min="16" max="16" width="12.7109375" style="20" customWidth="1"/>
    <col min="17" max="18" width="12.7109375" style="1" customWidth="1"/>
    <col min="19" max="19" width="12.7109375" style="20" customWidth="1"/>
    <col min="20" max="20" width="12.7109375" style="1" customWidth="1"/>
    <col min="21" max="21" width="12.7109375" style="23" customWidth="1"/>
    <col min="22" max="22" width="20.7109375" style="1" customWidth="1"/>
    <col min="23" max="23" width="12.7109375" style="23" customWidth="1"/>
    <col min="24" max="25" width="12.7109375" style="1" customWidth="1"/>
    <col min="26" max="26" width="12.7109375" style="22" customWidth="1"/>
    <col min="27" max="27" width="12.7109375" style="1" customWidth="1"/>
    <col min="28" max="28" width="12.7109375" style="22" customWidth="1"/>
    <col min="29" max="29" width="12.7109375" style="1" customWidth="1"/>
    <col min="30" max="30" width="12.7109375" style="22" customWidth="1"/>
    <col min="31" max="31" width="12.7109375" style="1" customWidth="1"/>
    <col min="32" max="32" width="12.7109375" style="22" customWidth="1"/>
    <col min="33" max="33" width="12.7109375" style="1" customWidth="1"/>
    <col min="34" max="36" width="12.7109375" style="22" customWidth="1"/>
    <col min="37" max="37" width="12.7109375" style="23" customWidth="1"/>
    <col min="38" max="38" width="20.7109375" style="1" customWidth="1"/>
    <col min="39" max="39" width="12.7109375" style="23" customWidth="1"/>
    <col min="40" max="40" width="12.7109375" style="1" customWidth="1"/>
    <col min="41" max="41" width="12.7109375" style="22" customWidth="1"/>
    <col min="42" max="43" width="12.7109375" style="1" customWidth="1"/>
    <col min="44" max="16384" width="9.140625" style="1"/>
  </cols>
  <sheetData>
    <row r="1" spans="1:43">
      <c r="A1" s="7" t="s">
        <v>29</v>
      </c>
    </row>
    <row r="2" spans="1:43" ht="15.75" thickBot="1"/>
    <row r="3" spans="1:43" ht="21.75" customHeight="1">
      <c r="A3" s="145" t="s">
        <v>17</v>
      </c>
      <c r="B3" s="147" t="s">
        <v>19</v>
      </c>
      <c r="C3" s="147"/>
      <c r="D3" s="147"/>
      <c r="E3" s="148" t="s">
        <v>2</v>
      </c>
      <c r="F3" s="149"/>
      <c r="G3" s="149"/>
      <c r="H3" s="149"/>
      <c r="I3" s="149"/>
      <c r="J3" s="149"/>
      <c r="K3" s="149"/>
      <c r="L3" s="149"/>
      <c r="M3" s="150"/>
      <c r="N3" s="151" t="s">
        <v>24</v>
      </c>
      <c r="O3" s="18"/>
      <c r="P3" s="153" t="s">
        <v>3</v>
      </c>
      <c r="Q3" s="153"/>
      <c r="R3" s="153"/>
      <c r="S3" s="153"/>
      <c r="T3" s="153"/>
      <c r="U3" s="153"/>
      <c r="V3" s="143" t="s">
        <v>25</v>
      </c>
      <c r="W3" s="159" t="s">
        <v>65</v>
      </c>
      <c r="X3" s="159"/>
      <c r="Y3" s="161" t="s">
        <v>4</v>
      </c>
      <c r="Z3" s="161"/>
      <c r="AA3" s="161"/>
      <c r="AB3" s="161"/>
      <c r="AC3" s="161"/>
      <c r="AD3" s="161"/>
      <c r="AE3" s="161"/>
      <c r="AF3" s="161"/>
      <c r="AG3" s="161"/>
      <c r="AH3" s="161"/>
      <c r="AI3" s="161"/>
      <c r="AJ3" s="161"/>
      <c r="AK3" s="161"/>
      <c r="AL3" s="162" t="s">
        <v>26</v>
      </c>
      <c r="AM3" s="163" t="s">
        <v>5</v>
      </c>
      <c r="AN3" s="154" t="s">
        <v>20</v>
      </c>
      <c r="AO3" s="154" t="s">
        <v>6</v>
      </c>
      <c r="AP3" s="154" t="s">
        <v>7</v>
      </c>
      <c r="AQ3" s="156" t="s">
        <v>8</v>
      </c>
    </row>
    <row r="4" spans="1:43" ht="54.75" customHeight="1">
      <c r="A4" s="146"/>
      <c r="B4" s="2" t="s">
        <v>18</v>
      </c>
      <c r="C4" s="2" t="s">
        <v>9</v>
      </c>
      <c r="D4" s="2" t="s">
        <v>27</v>
      </c>
      <c r="E4" s="17" t="s">
        <v>0</v>
      </c>
      <c r="F4" s="17" t="s">
        <v>1</v>
      </c>
      <c r="G4" s="17" t="s">
        <v>30</v>
      </c>
      <c r="H4" s="9" t="s">
        <v>31</v>
      </c>
      <c r="I4" s="12" t="s">
        <v>52</v>
      </c>
      <c r="J4" s="12" t="s">
        <v>50</v>
      </c>
      <c r="K4" s="9" t="s">
        <v>51</v>
      </c>
      <c r="L4" s="15" t="s">
        <v>53</v>
      </c>
      <c r="M4" s="17" t="s">
        <v>10</v>
      </c>
      <c r="N4" s="152"/>
      <c r="O4" s="19" t="s">
        <v>67</v>
      </c>
      <c r="P4" s="144" t="s">
        <v>32</v>
      </c>
      <c r="Q4" s="144"/>
      <c r="R4" s="19" t="s">
        <v>68</v>
      </c>
      <c r="S4" s="144" t="s">
        <v>33</v>
      </c>
      <c r="T4" s="144"/>
      <c r="U4" s="26" t="s">
        <v>28</v>
      </c>
      <c r="V4" s="144"/>
      <c r="W4" s="160"/>
      <c r="X4" s="160"/>
      <c r="Y4" s="158" t="s">
        <v>11</v>
      </c>
      <c r="Z4" s="158"/>
      <c r="AA4" s="158" t="s">
        <v>12</v>
      </c>
      <c r="AB4" s="158"/>
      <c r="AC4" s="158" t="s">
        <v>54</v>
      </c>
      <c r="AD4" s="158"/>
      <c r="AE4" s="158" t="s">
        <v>13</v>
      </c>
      <c r="AF4" s="158"/>
      <c r="AG4" s="158" t="s">
        <v>56</v>
      </c>
      <c r="AH4" s="158"/>
      <c r="AI4" s="165" t="s">
        <v>55</v>
      </c>
      <c r="AJ4" s="166"/>
      <c r="AK4" s="25" t="s">
        <v>23</v>
      </c>
      <c r="AL4" s="158"/>
      <c r="AM4" s="164"/>
      <c r="AN4" s="155"/>
      <c r="AO4" s="155"/>
      <c r="AP4" s="155"/>
      <c r="AQ4" s="157"/>
    </row>
    <row r="5" spans="1:43" ht="36.75" thickBot="1">
      <c r="A5" s="3" t="s">
        <v>16</v>
      </c>
      <c r="B5" s="4" t="s">
        <v>18</v>
      </c>
      <c r="C5" s="4" t="s">
        <v>14</v>
      </c>
      <c r="D5" s="4" t="s">
        <v>27</v>
      </c>
      <c r="E5" s="4" t="s">
        <v>0</v>
      </c>
      <c r="F5" s="4" t="s">
        <v>1</v>
      </c>
      <c r="G5" s="4" t="s">
        <v>30</v>
      </c>
      <c r="H5" s="10" t="s">
        <v>31</v>
      </c>
      <c r="I5" s="13" t="s">
        <v>57</v>
      </c>
      <c r="J5" s="13" t="s">
        <v>50</v>
      </c>
      <c r="K5" s="10" t="s">
        <v>51</v>
      </c>
      <c r="L5" s="16" t="s">
        <v>53</v>
      </c>
      <c r="M5" s="4" t="s">
        <v>10</v>
      </c>
      <c r="N5" s="4" t="s">
        <v>24</v>
      </c>
      <c r="O5" s="4" t="s">
        <v>67</v>
      </c>
      <c r="P5" s="21" t="s">
        <v>58</v>
      </c>
      <c r="Q5" s="4" t="s">
        <v>15</v>
      </c>
      <c r="R5" s="4" t="s">
        <v>68</v>
      </c>
      <c r="S5" s="21" t="s">
        <v>33</v>
      </c>
      <c r="T5" s="4" t="s">
        <v>15</v>
      </c>
      <c r="U5" s="24" t="s">
        <v>28</v>
      </c>
      <c r="V5" s="4" t="s">
        <v>25</v>
      </c>
      <c r="W5" s="24" t="s">
        <v>21</v>
      </c>
      <c r="X5" s="4" t="s">
        <v>66</v>
      </c>
      <c r="Y5" s="6" t="s">
        <v>22</v>
      </c>
      <c r="Z5" s="4" t="s">
        <v>59</v>
      </c>
      <c r="AA5" s="6" t="s">
        <v>22</v>
      </c>
      <c r="AB5" s="4" t="s">
        <v>60</v>
      </c>
      <c r="AC5" s="6" t="s">
        <v>22</v>
      </c>
      <c r="AD5" s="4" t="s">
        <v>61</v>
      </c>
      <c r="AE5" s="6" t="s">
        <v>22</v>
      </c>
      <c r="AF5" s="4" t="s">
        <v>62</v>
      </c>
      <c r="AG5" s="4" t="s">
        <v>22</v>
      </c>
      <c r="AH5" s="4" t="s">
        <v>63</v>
      </c>
      <c r="AI5" s="4" t="s">
        <v>22</v>
      </c>
      <c r="AJ5" s="4" t="s">
        <v>64</v>
      </c>
      <c r="AK5" s="24" t="s">
        <v>23</v>
      </c>
      <c r="AL5" s="4" t="s">
        <v>26</v>
      </c>
      <c r="AM5" s="24" t="s">
        <v>5</v>
      </c>
      <c r="AN5" s="4" t="s">
        <v>20</v>
      </c>
      <c r="AO5" s="4" t="s">
        <v>6</v>
      </c>
      <c r="AP5" s="4" t="s">
        <v>7</v>
      </c>
      <c r="AQ5" s="5" t="s">
        <v>8</v>
      </c>
    </row>
    <row r="6" spans="1:43" s="177" customFormat="1" ht="56.25">
      <c r="A6" s="169"/>
      <c r="B6" s="87" t="s">
        <v>230</v>
      </c>
      <c r="C6" s="87">
        <v>6</v>
      </c>
      <c r="D6" s="87"/>
      <c r="E6" s="170" t="s">
        <v>318</v>
      </c>
      <c r="F6" s="171" t="s">
        <v>231</v>
      </c>
      <c r="G6" s="172" t="s">
        <v>300</v>
      </c>
      <c r="H6" s="173">
        <f>_xlfn.IFS(G6="Barangay road
City road",CEILING(2600000*1,1000),G6="Barangay road
City road
National road",CEILING(2600000*2,1000),G6="Barangay road
National road",CEILING(2600000*2,1000),G6="Barangay road",CEILING(2600000*1,1000),G6="City road",CEILING(2600000*1,1000),G6="Barangay road
City road",CEILING(2600000*1,1000),G6="National road",CEILING(2600000*2,1000),G6="Barangay road
NIA
Provincial road",CEILING(2600000*1,1000),G6="Barangay road
NIA
National road",CEILING(2600000*2,1000),G6="Barangay road
Private road
Provincial road",CEILING(2600000*1,1000),G6="Barangay road
Private road
Provincial road
National road",CEILING(2600000*2,1000),G6="Barangay road
NIA
National road
Provincial road",CEILING(2600000*2,1000),G6="Barangay road
Provincial road",CEILING(2600000*1,1000),G6="Barangay road
City road
National road
Provincial road",CEILING(2600000*2,1000),G6="Barangay road
National road
Provincial road",CEILING(2600000*2,1000))</f>
        <v>2600000</v>
      </c>
      <c r="I6" s="204">
        <v>0.92181899999999994</v>
      </c>
      <c r="J6" s="174">
        <v>0.92181939999999996</v>
      </c>
      <c r="K6" s="173">
        <f>H6*J6</f>
        <v>2396730.44</v>
      </c>
      <c r="L6" s="175">
        <f>J6/I6</f>
        <v>1.0000004339246642</v>
      </c>
      <c r="M6" s="170">
        <f>_xlfn.IFS(L6&lt;=5%,1,AND(L6&gt;5%,L6&lt;=15%),2,AND(L6&gt;15%,L6&lt;=30%),3,AND(L6&gt;30%,L6&lt;=50%),4,L6&gt;50%,5)</f>
        <v>5</v>
      </c>
      <c r="N6" s="170"/>
      <c r="O6" s="90">
        <f>J6*P6</f>
        <v>0.92181939999999996</v>
      </c>
      <c r="P6" s="176">
        <v>1</v>
      </c>
      <c r="Q6" s="87">
        <f>_xlfn.IFS(P6&lt;=5%,1,AND(P6&gt;5%,P6&lt;=15%),2,AND(P6&gt;15%,P6&lt;=30%),3,AND(P6&gt;30%,P6&lt;=50%),4,P6&gt;50%,5)</f>
        <v>5</v>
      </c>
      <c r="R6" s="90">
        <f>J6-O6</f>
        <v>0</v>
      </c>
      <c r="S6" s="176">
        <f>R6/J6</f>
        <v>0</v>
      </c>
      <c r="T6" s="87">
        <f>_xlfn.IFS(S6&lt;=5%,1,AND(S6&gt;5%,S6&lt;=15%),2,AND(S6&gt;15%,S6&lt;=30%),3,AND(S6&gt;30%,S6&lt;=50%),4,S6&gt;50%,5)</f>
        <v>1</v>
      </c>
      <c r="U6" s="89">
        <f>AVERAGE(Q6,T6)</f>
        <v>3</v>
      </c>
      <c r="V6" s="87"/>
      <c r="W6" s="89">
        <f>AVERAGE(M6,U6)</f>
        <v>4</v>
      </c>
      <c r="X6" s="87" t="str">
        <f>_xlfn.IFS(AND(W6&gt;4,W6&lt;=5),"VERY HIGH",AND(W6&gt;3,W6&lt;=4),"HIGH",AND(W6&gt;2,W6&lt;=3),"MODERATE",AND(W6&gt;1,W6&lt;=2),"LOW",W6&lt;=1,"VERY LOW")</f>
        <v>HIGH</v>
      </c>
      <c r="Y6" s="88" t="s">
        <v>90</v>
      </c>
      <c r="Z6" s="87">
        <v>4</v>
      </c>
      <c r="AA6" s="88" t="s">
        <v>91</v>
      </c>
      <c r="AB6" s="87">
        <v>2</v>
      </c>
      <c r="AC6" s="88" t="s">
        <v>92</v>
      </c>
      <c r="AD6" s="87">
        <v>4</v>
      </c>
      <c r="AE6" s="88" t="s">
        <v>93</v>
      </c>
      <c r="AF6" s="87">
        <v>4</v>
      </c>
      <c r="AG6" s="88" t="s">
        <v>89</v>
      </c>
      <c r="AH6" s="87">
        <v>4</v>
      </c>
      <c r="AI6" s="88" t="s">
        <v>88</v>
      </c>
      <c r="AJ6" s="87">
        <v>4</v>
      </c>
      <c r="AK6" s="89">
        <f>AVERAGE(Z6,AB6,AD6,AF6,AH6,AJ6)</f>
        <v>3.6666666666666665</v>
      </c>
      <c r="AL6" s="87"/>
      <c r="AM6" s="89">
        <f>W6/AK6</f>
        <v>1.0909090909090911</v>
      </c>
      <c r="AN6" s="87" t="str">
        <f>_xlfn.IFS(AM6&lt;=1,"LOW",AND(AM6&gt;1,AM6&lt;=2),"MEDIUM LOW",AND(AM6&gt;2,AM6&lt;=3),"MEDIUM",AND(AM6&gt;3,AM6&lt;=4),"MEDIUM HIGH",AND(AM6&gt;4,AM6&lt;=5),"HIGH")</f>
        <v>MEDIUM LOW</v>
      </c>
      <c r="AO6" s="87">
        <v>3</v>
      </c>
      <c r="AP6" s="87">
        <f>AO6*C6</f>
        <v>18</v>
      </c>
      <c r="AQ6" s="87" t="str">
        <f>_xlfn.IFS(AP6&lt;=5,"LOW RISK",AND(AP6&gt;5,AP6&lt;=12),"MODERATE RISK",AP6&gt;12,"HIGH RISK")</f>
        <v>HIGH RISK</v>
      </c>
    </row>
    <row r="7" spans="1:43" s="177" customFormat="1" ht="56.25">
      <c r="A7" s="178"/>
      <c r="B7" s="87" t="s">
        <v>230</v>
      </c>
      <c r="C7" s="87">
        <v>6</v>
      </c>
      <c r="D7" s="179"/>
      <c r="E7" s="170" t="s">
        <v>315</v>
      </c>
      <c r="F7" s="180" t="s">
        <v>49</v>
      </c>
      <c r="G7" s="181" t="s">
        <v>300</v>
      </c>
      <c r="H7" s="182">
        <f>_xlfn.IFS(G7="Barangay road
City road",CEILING(2600000*1,1000),G7="Barangay road
City road
National road",CEILING(2600000*2,1000),G7="Barangay road
National road",CEILING(2600000*2,1000),G7="Barangay road",CEILING(2600000*1,1000),G7="City road",CEILING(2600000*1,1000),G7="Barangay road
City road",CEILING(2600000*1,1000),G7="National road",CEILING(2600000*2,1000),G7="Barangay road
NIA
Provincial road",CEILING(2600000*1,1000),G7="Barangay road
NIA
National road",CEILING(2600000*2,1000),G7="Barangay road
Private road
Provincial road",CEILING(2600000*1,1000),G7="Barangay road
Private road
Provincial road
National road",CEILING(2600000*2,1000),G7="Barangay road
NIA
National road
Provincial road",CEILING(2600000*2,1000),G7="Barangay road
Provincial road",CEILING(2600000*1,1000),G7="Barangay road
City road
National road
Provincial road",CEILING(2600000*2,1000),G7="Barangay road
National road
Provincial road",CEILING(2600000*2,1000))</f>
        <v>2600000</v>
      </c>
      <c r="I7" s="204">
        <v>6.3489399999999998</v>
      </c>
      <c r="J7" s="183">
        <v>6.3489405999999997</v>
      </c>
      <c r="K7" s="182">
        <f>H7*J7</f>
        <v>16507245.559999999</v>
      </c>
      <c r="L7" s="175">
        <f t="shared" ref="L7:L70" si="0">J7/I7</f>
        <v>1.0000000945039644</v>
      </c>
      <c r="M7" s="170">
        <f>_xlfn.IFS(L7&lt;=5%,1,AND(L7&gt;5%,L7&lt;=15%),2,AND(L7&gt;15%,L7&lt;=30%),3,AND(L7&gt;30%,L7&lt;=50%),4,L7&gt;50%,5)</f>
        <v>5</v>
      </c>
      <c r="N7" s="185"/>
      <c r="O7" s="90">
        <f>J7*P7</f>
        <v>1.63739178074</v>
      </c>
      <c r="P7" s="176">
        <v>0.25790000000000002</v>
      </c>
      <c r="Q7" s="87">
        <f>_xlfn.IFS(P7&lt;=5%,1,AND(P7&gt;5%,P7&lt;=15%),2,AND(P7&gt;15%,P7&lt;=30%),3,AND(P7&gt;30%,P7&lt;=50%),4,P7&gt;50%,5)</f>
        <v>3</v>
      </c>
      <c r="R7" s="90">
        <f>J7-O7</f>
        <v>4.7115488192599999</v>
      </c>
      <c r="S7" s="176">
        <f>R7/J7</f>
        <v>0.74209999999999998</v>
      </c>
      <c r="T7" s="87">
        <f>_xlfn.IFS(S7&lt;=5%,1,AND(S7&gt;5%,S7&lt;=15%),2,AND(S7&gt;15%,S7&lt;=30%),3,AND(S7&gt;30%,S7&lt;=50%),4,S7&gt;50%,5)</f>
        <v>5</v>
      </c>
      <c r="U7" s="89">
        <f>AVERAGE(Q7,T7)</f>
        <v>4</v>
      </c>
      <c r="V7" s="179"/>
      <c r="W7" s="89">
        <f>AVERAGE(M7,U7)</f>
        <v>4.5</v>
      </c>
      <c r="X7" s="87" t="str">
        <f>_xlfn.IFS(AND(W7&gt;4,W7&lt;=5),"VERY HIGH",AND(W7&gt;3,W7&lt;=4),"HIGH",AND(W7&gt;2,W7&lt;=3),"MODERATE",AND(W7&gt;1,W7&lt;=2),"LOW",W7&lt;=1,"VERY LOW")</f>
        <v>VERY HIGH</v>
      </c>
      <c r="Y7" s="88" t="s">
        <v>90</v>
      </c>
      <c r="Z7" s="87">
        <v>4</v>
      </c>
      <c r="AA7" s="88" t="s">
        <v>91</v>
      </c>
      <c r="AB7" s="87">
        <v>2</v>
      </c>
      <c r="AC7" s="88" t="s">
        <v>92</v>
      </c>
      <c r="AD7" s="87">
        <v>4</v>
      </c>
      <c r="AE7" s="88" t="s">
        <v>93</v>
      </c>
      <c r="AF7" s="87">
        <v>4</v>
      </c>
      <c r="AG7" s="88" t="s">
        <v>89</v>
      </c>
      <c r="AH7" s="87">
        <v>4</v>
      </c>
      <c r="AI7" s="88" t="s">
        <v>88</v>
      </c>
      <c r="AJ7" s="87">
        <v>4</v>
      </c>
      <c r="AK7" s="89">
        <f>AVERAGE(Z7,AB7,AD7,AF7,AH7,AJ7)</f>
        <v>3.6666666666666665</v>
      </c>
      <c r="AL7" s="179"/>
      <c r="AM7" s="89">
        <f>W7/AK7</f>
        <v>1.2272727272727273</v>
      </c>
      <c r="AN7" s="87" t="str">
        <f>_xlfn.IFS(AM7&lt;=1,"LOW",AND(AM7&gt;1,AM7&lt;=2),"MEDIUM LOW",AND(AM7&gt;2,AM7&lt;=3),"MEDIUM",AND(AM7&gt;3,AM7&lt;=4),"MEDIUM HIGH",AND(AM7&gt;4,AM7&lt;=5),"HIGH")</f>
        <v>MEDIUM LOW</v>
      </c>
      <c r="AO7" s="87">
        <v>1</v>
      </c>
      <c r="AP7" s="87">
        <f>AO7*C7</f>
        <v>6</v>
      </c>
      <c r="AQ7" s="87" t="str">
        <f>_xlfn.IFS(AP7&lt;=5,"LOW RISK",AND(AP7&gt;5,AP7&lt;=12),"MODERATE RISK",AP7&gt;12,"HIGH RISK")</f>
        <v>MODERATE RISK</v>
      </c>
    </row>
    <row r="8" spans="1:43" s="177" customFormat="1" ht="56.25">
      <c r="A8" s="178"/>
      <c r="B8" s="87" t="s">
        <v>230</v>
      </c>
      <c r="C8" s="87">
        <v>6</v>
      </c>
      <c r="D8" s="179"/>
      <c r="E8" s="170" t="s">
        <v>315</v>
      </c>
      <c r="F8" s="180" t="s">
        <v>34</v>
      </c>
      <c r="G8" s="181" t="s">
        <v>301</v>
      </c>
      <c r="H8" s="182">
        <f>_xlfn.IFS(G8="Barangay road
City road",CEILING(2600000*1,1000),G8="Barangay road
City road
National road",CEILING(2600000*2,1000),G8="Barangay road
National road",CEILING(2600000*2,1000),G8="Barangay road",CEILING(2600000*1,1000),G8="City road",CEILING(2600000*1,1000),G8="Barangay road
City road",CEILING(2600000*1,1000),G8="National road",CEILING(2600000*2,1000),G8="Barangay road
NIA
Provincial road",CEILING(2600000*1,1000),G8="Barangay road
NIA
National road",CEILING(2600000*2,1000),G8="Barangay road
Private road
Provincial road",CEILING(2600000*1,1000),G8="Barangay road
Private road
Provincial road
National road",CEILING(2600000*2,1000),G8="Barangay road
NIA
National road
Provincial road",CEILING(2600000*2,1000),G8="Barangay road
Provincial road",CEILING(2600000*1,1000),G8="Barangay road
City road
National road
Provincial road",CEILING(2600000*2,1000),G8="Barangay road
National road
Provincial road",CEILING(2600000*2,1000))</f>
        <v>5200000</v>
      </c>
      <c r="I8" s="204">
        <v>31.406580000000002</v>
      </c>
      <c r="J8" s="183">
        <v>31.4065002</v>
      </c>
      <c r="K8" s="182">
        <f>H8*J8</f>
        <v>163313801.03999999</v>
      </c>
      <c r="L8" s="175">
        <f t="shared" si="0"/>
        <v>0.99999745913117566</v>
      </c>
      <c r="M8" s="170">
        <f>_xlfn.IFS(L8&lt;=5%,1,AND(L8&gt;5%,L8&lt;=15%),2,AND(L8&gt;15%,L8&lt;=30%),3,AND(L8&gt;30%,L8&lt;=50%),4,L8&gt;50%,5)</f>
        <v>5</v>
      </c>
      <c r="N8" s="184"/>
      <c r="O8" s="90">
        <f>J8*P8</f>
        <v>8.6242249549200007</v>
      </c>
      <c r="P8" s="176">
        <v>0.27460000000000001</v>
      </c>
      <c r="Q8" s="87">
        <f>_xlfn.IFS(P8&lt;=5%,1,AND(P8&gt;5%,P8&lt;=15%),2,AND(P8&gt;15%,P8&lt;=30%),3,AND(P8&gt;30%,P8&lt;=50%),4,P8&gt;50%,5)</f>
        <v>3</v>
      </c>
      <c r="R8" s="90">
        <f>J8-O8</f>
        <v>22.782275245080001</v>
      </c>
      <c r="S8" s="176">
        <f>R8/J8</f>
        <v>0.72540000000000004</v>
      </c>
      <c r="T8" s="87">
        <f>_xlfn.IFS(S8&lt;=5%,1,AND(S8&gt;5%,S8&lt;=15%),2,AND(S8&gt;15%,S8&lt;=30%),3,AND(S8&gt;30%,S8&lt;=50%),4,S8&gt;50%,5)</f>
        <v>5</v>
      </c>
      <c r="U8" s="89">
        <f>AVERAGE(Q8,T8)</f>
        <v>4</v>
      </c>
      <c r="V8" s="179"/>
      <c r="W8" s="89">
        <f>AVERAGE(M8,U8)</f>
        <v>4.5</v>
      </c>
      <c r="X8" s="87" t="str">
        <f>_xlfn.IFS(AND(W8&gt;4,W8&lt;=5),"VERY HIGH",AND(W8&gt;3,W8&lt;=4),"HIGH",AND(W8&gt;2,W8&lt;=3),"MODERATE",AND(W8&gt;1,W8&lt;=2),"LOW",W8&lt;=1,"VERY LOW")</f>
        <v>VERY HIGH</v>
      </c>
      <c r="Y8" s="88" t="s">
        <v>90</v>
      </c>
      <c r="Z8" s="87">
        <v>4</v>
      </c>
      <c r="AA8" s="88" t="s">
        <v>91</v>
      </c>
      <c r="AB8" s="87">
        <v>2</v>
      </c>
      <c r="AC8" s="88" t="s">
        <v>92</v>
      </c>
      <c r="AD8" s="87">
        <v>4</v>
      </c>
      <c r="AE8" s="88" t="s">
        <v>93</v>
      </c>
      <c r="AF8" s="87">
        <v>4</v>
      </c>
      <c r="AG8" s="88" t="s">
        <v>89</v>
      </c>
      <c r="AH8" s="87">
        <v>4</v>
      </c>
      <c r="AI8" s="88" t="s">
        <v>88</v>
      </c>
      <c r="AJ8" s="87">
        <v>4</v>
      </c>
      <c r="AK8" s="89">
        <f>AVERAGE(Z8,AB8,AD8,AF8,AH8,AJ8)</f>
        <v>3.6666666666666665</v>
      </c>
      <c r="AL8" s="179"/>
      <c r="AM8" s="89">
        <f>W8/AK8</f>
        <v>1.2272727272727273</v>
      </c>
      <c r="AN8" s="87" t="str">
        <f>_xlfn.IFS(AM8&lt;=1,"LOW",AND(AM8&gt;1,AM8&lt;=2),"MEDIUM LOW",AND(AM8&gt;2,AM8&lt;=3),"MEDIUM",AND(AM8&gt;3,AM8&lt;=4),"MEDIUM HIGH",AND(AM8&gt;4,AM8&lt;=5),"HIGH")</f>
        <v>MEDIUM LOW</v>
      </c>
      <c r="AO8" s="87">
        <v>1</v>
      </c>
      <c r="AP8" s="87">
        <f>AO8*C8</f>
        <v>6</v>
      </c>
      <c r="AQ8" s="87" t="str">
        <f>_xlfn.IFS(AP8&lt;=5,"LOW RISK",AND(AP8&gt;5,AP8&lt;=12),"MODERATE RISK",AP8&gt;12,"HIGH RISK")</f>
        <v>MODERATE RISK</v>
      </c>
    </row>
    <row r="9" spans="1:43" s="177" customFormat="1" ht="56.25">
      <c r="A9" s="178"/>
      <c r="B9" s="87" t="s">
        <v>230</v>
      </c>
      <c r="C9" s="87">
        <v>6</v>
      </c>
      <c r="D9" s="179"/>
      <c r="E9" s="170" t="s">
        <v>316</v>
      </c>
      <c r="F9" s="180" t="s">
        <v>232</v>
      </c>
      <c r="G9" s="181" t="s">
        <v>301</v>
      </c>
      <c r="H9" s="182">
        <f>_xlfn.IFS(G9="Barangay road
City road",CEILING(2600000*1,1000),G9="Barangay road
City road
National road",CEILING(2600000*2,1000),G9="Barangay road
National road",CEILING(2600000*2,1000),G9="Barangay road",CEILING(2600000*1,1000),G9="City road",CEILING(2600000*1,1000),G9="Barangay road
City road",CEILING(2600000*1,1000),G9="National road",CEILING(2600000*2,1000),G9="Barangay road
NIA
Provincial road",CEILING(2600000*1,1000),G9="Barangay road
NIA
National road",CEILING(2600000*2,1000),G9="Barangay road
Private road
Provincial road",CEILING(2600000*1,1000),G9="Barangay road
Private road
Provincial road
National road",CEILING(2600000*2,1000),G9="Barangay road
NIA
National road
Provincial road",CEILING(2600000*2,1000),G9="Barangay road
Provincial road",CEILING(2600000*1,1000),G9="Barangay road
City road
National road
Provincial road",CEILING(2600000*2,1000),G9="Barangay road
National road
Provincial road",CEILING(2600000*2,1000))</f>
        <v>5200000</v>
      </c>
      <c r="I9" s="204">
        <v>15.261330000000001</v>
      </c>
      <c r="J9" s="183">
        <v>8.9243421999999999</v>
      </c>
      <c r="K9" s="182">
        <f>H9*J9</f>
        <v>46406579.439999998</v>
      </c>
      <c r="L9" s="175">
        <f t="shared" si="0"/>
        <v>0.58476831311556721</v>
      </c>
      <c r="M9" s="170">
        <f>_xlfn.IFS(L9&lt;=5%,1,AND(L9&gt;5%,L9&lt;=15%),2,AND(L9&gt;15%,L9&lt;=30%),3,AND(L9&gt;30%,L9&lt;=50%),4,L9&gt;50%,5)</f>
        <v>5</v>
      </c>
      <c r="N9" s="184"/>
      <c r="O9" s="191">
        <f>J9*P9</f>
        <v>6.4255263839999994</v>
      </c>
      <c r="P9" s="192">
        <v>0.72</v>
      </c>
      <c r="Q9" s="170">
        <f>_xlfn.IFS(P9&lt;=5%,1,AND(P9&gt;5%,P9&lt;=15%),2,AND(P9&gt;15%,P9&lt;=30%),3,AND(P9&gt;30%,P9&lt;=50%),4,P9&gt;50%,5)</f>
        <v>5</v>
      </c>
      <c r="R9" s="191">
        <f>J9-O9</f>
        <v>2.4988158160000005</v>
      </c>
      <c r="S9" s="192">
        <f>R9/J9</f>
        <v>0.28000000000000008</v>
      </c>
      <c r="T9" s="170">
        <f>_xlfn.IFS(S9&lt;=5%,1,AND(S9&gt;5%,S9&lt;=15%),2,AND(S9&gt;15%,S9&lt;=30%),3,AND(S9&gt;30%,S9&lt;=50%),4,S9&gt;50%,5)</f>
        <v>3</v>
      </c>
      <c r="U9" s="193">
        <f>AVERAGE(Q9,T9)</f>
        <v>4</v>
      </c>
      <c r="V9" s="184"/>
      <c r="W9" s="193">
        <f>AVERAGE(M9,U9)</f>
        <v>4.5</v>
      </c>
      <c r="X9" s="170" t="str">
        <f>_xlfn.IFS(AND(W9&gt;4,W9&lt;=5),"VERY HIGH",AND(W9&gt;3,W9&lt;=4),"HIGH",AND(W9&gt;2,W9&lt;=3),"MODERATE",AND(W9&gt;1,W9&lt;=2),"LOW",W9&lt;=1,"VERY LOW")</f>
        <v>VERY HIGH</v>
      </c>
      <c r="Y9" s="194" t="s">
        <v>90</v>
      </c>
      <c r="Z9" s="170">
        <v>4</v>
      </c>
      <c r="AA9" s="194" t="s">
        <v>91</v>
      </c>
      <c r="AB9" s="170">
        <v>2</v>
      </c>
      <c r="AC9" s="194" t="s">
        <v>92</v>
      </c>
      <c r="AD9" s="170">
        <v>4</v>
      </c>
      <c r="AE9" s="194" t="s">
        <v>93</v>
      </c>
      <c r="AF9" s="170">
        <v>4</v>
      </c>
      <c r="AG9" s="194" t="s">
        <v>89</v>
      </c>
      <c r="AH9" s="170">
        <v>4</v>
      </c>
      <c r="AI9" s="194" t="s">
        <v>88</v>
      </c>
      <c r="AJ9" s="170">
        <v>4</v>
      </c>
      <c r="AK9" s="193">
        <f>AVERAGE(Z9,AB9,AD9,AF9,AH9,AJ9)</f>
        <v>3.6666666666666665</v>
      </c>
      <c r="AL9" s="184"/>
      <c r="AM9" s="193">
        <f>W9/AK9</f>
        <v>1.2272727272727273</v>
      </c>
      <c r="AN9" s="170" t="str">
        <f>_xlfn.IFS(AM9&lt;=1,"LOW",AND(AM9&gt;1,AM9&lt;=2),"MEDIUM LOW",AND(AM9&gt;2,AM9&lt;=3),"MEDIUM",AND(AM9&gt;3,AM9&lt;=4),"MEDIUM HIGH",AND(AM9&gt;4,AM9&lt;=5),"HIGH")</f>
        <v>MEDIUM LOW</v>
      </c>
      <c r="AO9" s="170">
        <v>1</v>
      </c>
      <c r="AP9" s="170">
        <f>AO9*C9</f>
        <v>6</v>
      </c>
      <c r="AQ9" s="170" t="str">
        <f>_xlfn.IFS(AP9&lt;=5,"LOW RISK",AND(AP9&gt;5,AP9&lt;=12),"MODERATE RISK",AP9&gt;12,"HIGH RISK")</f>
        <v>MODERATE RISK</v>
      </c>
    </row>
    <row r="10" spans="1:43" s="177" customFormat="1" ht="56.25">
      <c r="A10" s="178"/>
      <c r="B10" s="87" t="s">
        <v>230</v>
      </c>
      <c r="C10" s="87">
        <v>6</v>
      </c>
      <c r="D10" s="179"/>
      <c r="E10" s="170" t="s">
        <v>315</v>
      </c>
      <c r="F10" s="180" t="s">
        <v>233</v>
      </c>
      <c r="G10" s="181" t="s">
        <v>301</v>
      </c>
      <c r="H10" s="182">
        <f>_xlfn.IFS(G10="Barangay road
City road",CEILING(2600000*1,1000),G10="Barangay road
City road
National road",CEILING(2600000*2,1000),G10="Barangay road
National road",CEILING(2600000*2,1000),G10="Barangay road",CEILING(2600000*1,1000),G10="City road",CEILING(2600000*1,1000),G10="Barangay road
City road",CEILING(2600000*1,1000),G10="National road",CEILING(2600000*2,1000),G10="Barangay road
NIA
Provincial road",CEILING(2600000*1,1000),G10="Barangay road
NIA
National road",CEILING(2600000*2,1000),G10="Barangay road
Private road
Provincial road",CEILING(2600000*1,1000),G10="Barangay road
Private road
Provincial road
National road",CEILING(2600000*2,1000),G10="Barangay road
NIA
National road
Provincial road",CEILING(2600000*2,1000),G10="Barangay road
Provincial road",CEILING(2600000*1,1000),G10="Barangay road
City road
National road
Provincial road",CEILING(2600000*2,1000),G10="Barangay road
National road
Provincial road",CEILING(2600000*2,1000))</f>
        <v>5200000</v>
      </c>
      <c r="I10" s="204">
        <v>29.744185999999999</v>
      </c>
      <c r="J10" s="183">
        <v>29.744185999999999</v>
      </c>
      <c r="K10" s="182">
        <f>H10*J10</f>
        <v>154669767.19999999</v>
      </c>
      <c r="L10" s="175">
        <f t="shared" si="0"/>
        <v>1</v>
      </c>
      <c r="M10" s="170">
        <f>_xlfn.IFS(L10&lt;=5%,1,AND(L10&gt;5%,L10&lt;=15%),2,AND(L10&gt;15%,L10&lt;=30%),3,AND(L10&gt;30%,L10&lt;=50%),4,L10&gt;50%,5)</f>
        <v>5</v>
      </c>
      <c r="N10" s="184"/>
      <c r="O10" s="90">
        <f>J10*P10</f>
        <v>19.5657255508</v>
      </c>
      <c r="P10" s="176">
        <v>0.65780000000000005</v>
      </c>
      <c r="Q10" s="87">
        <f>_xlfn.IFS(P10&lt;=5%,1,AND(P10&gt;5%,P10&lt;=15%),2,AND(P10&gt;15%,P10&lt;=30%),3,AND(P10&gt;30%,P10&lt;=50%),4,P10&gt;50%,5)</f>
        <v>5</v>
      </c>
      <c r="R10" s="90">
        <f>J10-O10</f>
        <v>10.178460449199999</v>
      </c>
      <c r="S10" s="176">
        <f>R10/J10</f>
        <v>0.3422</v>
      </c>
      <c r="T10" s="87">
        <f>_xlfn.IFS(S10&lt;=5%,1,AND(S10&gt;5%,S10&lt;=15%),2,AND(S10&gt;15%,S10&lt;=30%),3,AND(S10&gt;30%,S10&lt;=50%),4,S10&gt;50%,5)</f>
        <v>4</v>
      </c>
      <c r="U10" s="89">
        <f>AVERAGE(Q10,T10)</f>
        <v>4.5</v>
      </c>
      <c r="V10" s="179"/>
      <c r="W10" s="89">
        <f>AVERAGE(M10,U10)</f>
        <v>4.75</v>
      </c>
      <c r="X10" s="87" t="str">
        <f>_xlfn.IFS(AND(W10&gt;4,W10&lt;=5),"VERY HIGH",AND(W10&gt;3,W10&lt;=4),"HIGH",AND(W10&gt;2,W10&lt;=3),"MODERATE",AND(W10&gt;1,W10&lt;=2),"LOW",W10&lt;=1,"VERY LOW")</f>
        <v>VERY HIGH</v>
      </c>
      <c r="Y10" s="88" t="s">
        <v>90</v>
      </c>
      <c r="Z10" s="87">
        <v>4</v>
      </c>
      <c r="AA10" s="88" t="s">
        <v>91</v>
      </c>
      <c r="AB10" s="87">
        <v>2</v>
      </c>
      <c r="AC10" s="88" t="s">
        <v>92</v>
      </c>
      <c r="AD10" s="87">
        <v>4</v>
      </c>
      <c r="AE10" s="88" t="s">
        <v>93</v>
      </c>
      <c r="AF10" s="87">
        <v>4</v>
      </c>
      <c r="AG10" s="88" t="s">
        <v>89</v>
      </c>
      <c r="AH10" s="87">
        <v>4</v>
      </c>
      <c r="AI10" s="88" t="s">
        <v>88</v>
      </c>
      <c r="AJ10" s="87">
        <v>4</v>
      </c>
      <c r="AK10" s="89">
        <f>AVERAGE(Z10,AB10,AD10,AF10,AH10,AJ10)</f>
        <v>3.6666666666666665</v>
      </c>
      <c r="AL10" s="179"/>
      <c r="AM10" s="89">
        <f>W10/AK10</f>
        <v>1.2954545454545454</v>
      </c>
      <c r="AN10" s="87" t="str">
        <f>_xlfn.IFS(AM10&lt;=1,"LOW",AND(AM10&gt;1,AM10&lt;=2),"MEDIUM LOW",AND(AM10&gt;2,AM10&lt;=3),"MEDIUM",AND(AM10&gt;3,AM10&lt;=4),"MEDIUM HIGH",AND(AM10&gt;4,AM10&lt;=5),"HIGH")</f>
        <v>MEDIUM LOW</v>
      </c>
      <c r="AO10" s="87">
        <v>1</v>
      </c>
      <c r="AP10" s="87">
        <f>AO10*C10</f>
        <v>6</v>
      </c>
      <c r="AQ10" s="87" t="str">
        <f>_xlfn.IFS(AP10&lt;=5,"LOW RISK",AND(AP10&gt;5,AP10&lt;=12),"MODERATE RISK",AP10&gt;12,"HIGH RISK")</f>
        <v>MODERATE RISK</v>
      </c>
    </row>
    <row r="11" spans="1:43" s="177" customFormat="1" ht="56.25">
      <c r="A11" s="178"/>
      <c r="B11" s="87" t="s">
        <v>230</v>
      </c>
      <c r="C11" s="87">
        <v>6</v>
      </c>
      <c r="D11" s="179"/>
      <c r="E11" s="170" t="s">
        <v>316</v>
      </c>
      <c r="F11" s="180" t="s">
        <v>234</v>
      </c>
      <c r="G11" s="181" t="s">
        <v>302</v>
      </c>
      <c r="H11" s="182">
        <f>_xlfn.IFS(G11="Barangay road
City road",CEILING(2600000*1,1000),G11="Barangay road
City road
National road",CEILING(2600000*2,1000),G11="Barangay road
National road",CEILING(2600000*2,1000),G11="Barangay road",CEILING(2600000*1,1000),G11="City road",CEILING(2600000*1,1000),G11="Barangay road
City road",CEILING(2600000*1,1000),G11="National road",CEILING(2600000*2,1000),G11="Barangay road
NIA
Provincial road",CEILING(2600000*1,1000),G11="Barangay road
NIA
National road",CEILING(2600000*2,1000),G11="Barangay road
Private road
Provincial road",CEILING(2600000*1,1000),G11="Barangay road
Private road
Provincial road
National road",CEILING(2600000*2,1000),G11="Barangay road
NIA
National road
Provincial road",CEILING(2600000*2,1000),G11="Barangay road
Provincial road",CEILING(2600000*1,1000),G11="Barangay road
City road
National road
Provincial road",CEILING(2600000*2,1000),G11="Barangay road
National road
Provincial road",CEILING(2600000*2,1000))</f>
        <v>5200000</v>
      </c>
      <c r="I11" s="204">
        <v>25.430999999999997</v>
      </c>
      <c r="J11" s="183">
        <v>1.6052040000000001</v>
      </c>
      <c r="K11" s="182">
        <f>H11*J11</f>
        <v>8347060.8000000007</v>
      </c>
      <c r="L11" s="175">
        <f t="shared" si="0"/>
        <v>6.3119971688097215E-2</v>
      </c>
      <c r="M11" s="170">
        <f>_xlfn.IFS(L11&lt;=5%,1,AND(L11&gt;5%,L11&lt;=15%),2,AND(L11&gt;15%,L11&lt;=30%),3,AND(L11&gt;30%,L11&lt;=50%),4,L11&gt;50%,5)</f>
        <v>2</v>
      </c>
      <c r="N11" s="184"/>
      <c r="O11" s="191">
        <f>J11*P11</f>
        <v>0</v>
      </c>
      <c r="P11" s="192">
        <v>0</v>
      </c>
      <c r="Q11" s="170">
        <f>_xlfn.IFS(P11&lt;=5%,1,AND(P11&gt;5%,P11&lt;=15%),2,AND(P11&gt;15%,P11&lt;=30%),3,AND(P11&gt;30%,P11&lt;=50%),4,P11&gt;50%,5)</f>
        <v>1</v>
      </c>
      <c r="R11" s="191">
        <f>J11-O11</f>
        <v>1.6052040000000001</v>
      </c>
      <c r="S11" s="192">
        <f>R11/J11</f>
        <v>1</v>
      </c>
      <c r="T11" s="170">
        <f>_xlfn.IFS(S11&lt;=5%,1,AND(S11&gt;5%,S11&lt;=15%),2,AND(S11&gt;15%,S11&lt;=30%),3,AND(S11&gt;30%,S11&lt;=50%),4,S11&gt;50%,5)</f>
        <v>5</v>
      </c>
      <c r="U11" s="193">
        <f>AVERAGE(Q11,T11)</f>
        <v>3</v>
      </c>
      <c r="V11" s="184"/>
      <c r="W11" s="193">
        <f>AVERAGE(M11,U11)</f>
        <v>2.5</v>
      </c>
      <c r="X11" s="170" t="str">
        <f>_xlfn.IFS(AND(W11&gt;4,W11&lt;=5),"VERY HIGH",AND(W11&gt;3,W11&lt;=4),"HIGH",AND(W11&gt;2,W11&lt;=3),"MODERATE",AND(W11&gt;1,W11&lt;=2),"LOW",W11&lt;=1,"VERY LOW")</f>
        <v>MODERATE</v>
      </c>
      <c r="Y11" s="194" t="s">
        <v>90</v>
      </c>
      <c r="Z11" s="170">
        <v>4</v>
      </c>
      <c r="AA11" s="194" t="s">
        <v>91</v>
      </c>
      <c r="AB11" s="170">
        <v>2</v>
      </c>
      <c r="AC11" s="194" t="s">
        <v>92</v>
      </c>
      <c r="AD11" s="170">
        <v>4</v>
      </c>
      <c r="AE11" s="194" t="s">
        <v>93</v>
      </c>
      <c r="AF11" s="170">
        <v>4</v>
      </c>
      <c r="AG11" s="194" t="s">
        <v>89</v>
      </c>
      <c r="AH11" s="170">
        <v>4</v>
      </c>
      <c r="AI11" s="194" t="s">
        <v>88</v>
      </c>
      <c r="AJ11" s="170">
        <v>4</v>
      </c>
      <c r="AK11" s="193">
        <f>AVERAGE(Z11,AB11,AD11,AF11,AH11,AJ11)</f>
        <v>3.6666666666666665</v>
      </c>
      <c r="AL11" s="184"/>
      <c r="AM11" s="193">
        <f>W11/AK11</f>
        <v>0.68181818181818188</v>
      </c>
      <c r="AN11" s="170" t="str">
        <f>_xlfn.IFS(AM11&lt;=1,"LOW",AND(AM11&gt;1,AM11&lt;=2),"MEDIUM LOW",AND(AM11&gt;2,AM11&lt;=3),"MEDIUM",AND(AM11&gt;3,AM11&lt;=4),"MEDIUM HIGH",AND(AM11&gt;4,AM11&lt;=5),"HIGH")</f>
        <v>LOW</v>
      </c>
      <c r="AO11" s="170">
        <v>1</v>
      </c>
      <c r="AP11" s="170">
        <f>AO11*C11</f>
        <v>6</v>
      </c>
      <c r="AQ11" s="170" t="str">
        <f>_xlfn.IFS(AP11&lt;=5,"LOW RISK",AND(AP11&gt;5,AP11&lt;=12),"MODERATE RISK",AP11&gt;12,"HIGH RISK")</f>
        <v>MODERATE RISK</v>
      </c>
    </row>
    <row r="12" spans="1:43" s="177" customFormat="1" ht="56.25">
      <c r="A12" s="178"/>
      <c r="B12" s="87" t="s">
        <v>230</v>
      </c>
      <c r="C12" s="87">
        <v>6</v>
      </c>
      <c r="D12" s="179"/>
      <c r="E12" s="170" t="s">
        <v>315</v>
      </c>
      <c r="F12" s="180" t="s">
        <v>235</v>
      </c>
      <c r="G12" s="181" t="s">
        <v>302</v>
      </c>
      <c r="H12" s="182">
        <f>_xlfn.IFS(G12="Barangay road
City road",CEILING(2600000*1,1000),G12="Barangay road
City road
National road",CEILING(2600000*2,1000),G12="Barangay road
National road",CEILING(2600000*2,1000),G12="Barangay road",CEILING(2600000*1,1000),G12="City road",CEILING(2600000*1,1000),G12="Barangay road
City road",CEILING(2600000*1,1000),G12="National road",CEILING(2600000*2,1000),G12="Barangay road
NIA
Provincial road",CEILING(2600000*1,1000),G12="Barangay road
NIA
National road",CEILING(2600000*2,1000),G12="Barangay road
Private road
Provincial road",CEILING(2600000*1,1000),G12="Barangay road
Private road
Provincial road
National road",CEILING(2600000*2,1000),G12="Barangay road
NIA
National road
Provincial road",CEILING(2600000*2,1000),G12="Barangay road
Provincial road",CEILING(2600000*1,1000),G12="Barangay road
City road
National road
Provincial road",CEILING(2600000*2,1000),G12="Barangay road
National road
Provincial road",CEILING(2600000*2,1000))</f>
        <v>5200000</v>
      </c>
      <c r="I12" s="204">
        <v>8.4385100000000008</v>
      </c>
      <c r="J12" s="183">
        <v>7.9509999999999996</v>
      </c>
      <c r="K12" s="182">
        <f>H12*J12</f>
        <v>41345200</v>
      </c>
      <c r="L12" s="175">
        <f t="shared" si="0"/>
        <v>0.9422279525650854</v>
      </c>
      <c r="M12" s="170">
        <f>_xlfn.IFS(L12&lt;=5%,1,AND(L12&gt;5%,L12&lt;=15%),2,AND(L12&gt;15%,L12&lt;=30%),3,AND(L12&gt;30%,L12&lt;=50%),4,L12&gt;50%,5)</f>
        <v>5</v>
      </c>
      <c r="N12" s="184"/>
      <c r="O12" s="90">
        <f>J12*P12</f>
        <v>0.98592399999999991</v>
      </c>
      <c r="P12" s="176">
        <v>0.124</v>
      </c>
      <c r="Q12" s="87">
        <f>_xlfn.IFS(P12&lt;=5%,1,AND(P12&gt;5%,P12&lt;=15%),2,AND(P12&gt;15%,P12&lt;=30%),3,AND(P12&gt;30%,P12&lt;=50%),4,P12&gt;50%,5)</f>
        <v>2</v>
      </c>
      <c r="R12" s="90">
        <f>J12-O12</f>
        <v>6.9650759999999998</v>
      </c>
      <c r="S12" s="176">
        <f>R12/J12</f>
        <v>0.876</v>
      </c>
      <c r="T12" s="87">
        <f>_xlfn.IFS(S12&lt;=5%,1,AND(S12&gt;5%,S12&lt;=15%),2,AND(S12&gt;15%,S12&lt;=30%),3,AND(S12&gt;30%,S12&lt;=50%),4,S12&gt;50%,5)</f>
        <v>5</v>
      </c>
      <c r="U12" s="89">
        <f>AVERAGE(Q12,T12)</f>
        <v>3.5</v>
      </c>
      <c r="V12" s="179"/>
      <c r="W12" s="89">
        <f>AVERAGE(M12,U12)</f>
        <v>4.25</v>
      </c>
      <c r="X12" s="87" t="str">
        <f>_xlfn.IFS(AND(W12&gt;4,W12&lt;=5),"VERY HIGH",AND(W12&gt;3,W12&lt;=4),"HIGH",AND(W12&gt;2,W12&lt;=3),"MODERATE",AND(W12&gt;1,W12&lt;=2),"LOW",W12&lt;=1,"VERY LOW")</f>
        <v>VERY HIGH</v>
      </c>
      <c r="Y12" s="88" t="s">
        <v>90</v>
      </c>
      <c r="Z12" s="87">
        <v>4</v>
      </c>
      <c r="AA12" s="88" t="s">
        <v>91</v>
      </c>
      <c r="AB12" s="87">
        <v>2</v>
      </c>
      <c r="AC12" s="88" t="s">
        <v>92</v>
      </c>
      <c r="AD12" s="87">
        <v>4</v>
      </c>
      <c r="AE12" s="88" t="s">
        <v>93</v>
      </c>
      <c r="AF12" s="87">
        <v>4</v>
      </c>
      <c r="AG12" s="88" t="s">
        <v>89</v>
      </c>
      <c r="AH12" s="87">
        <v>4</v>
      </c>
      <c r="AI12" s="88" t="s">
        <v>88</v>
      </c>
      <c r="AJ12" s="87">
        <v>4</v>
      </c>
      <c r="AK12" s="89">
        <f>AVERAGE(Z12,AB12,AD12,AF12,AH12,AJ12)</f>
        <v>3.6666666666666665</v>
      </c>
      <c r="AL12" s="179"/>
      <c r="AM12" s="89">
        <f>W12/AK12</f>
        <v>1.1590909090909092</v>
      </c>
      <c r="AN12" s="87" t="str">
        <f>_xlfn.IFS(AM12&lt;=1,"LOW",AND(AM12&gt;1,AM12&lt;=2),"MEDIUM LOW",AND(AM12&gt;2,AM12&lt;=3),"MEDIUM",AND(AM12&gt;3,AM12&lt;=4),"MEDIUM HIGH",AND(AM12&gt;4,AM12&lt;=5),"HIGH")</f>
        <v>MEDIUM LOW</v>
      </c>
      <c r="AO12" s="87">
        <v>1</v>
      </c>
      <c r="AP12" s="87">
        <f>AO12*C12</f>
        <v>6</v>
      </c>
      <c r="AQ12" s="87" t="str">
        <f>_xlfn.IFS(AP12&lt;=5,"LOW RISK",AND(AP12&gt;5,AP12&lt;=12),"MODERATE RISK",AP12&gt;12,"HIGH RISK")</f>
        <v>MODERATE RISK</v>
      </c>
    </row>
    <row r="13" spans="1:43" s="177" customFormat="1" ht="56.25">
      <c r="A13" s="178"/>
      <c r="B13" s="87" t="s">
        <v>230</v>
      </c>
      <c r="C13" s="87">
        <v>6</v>
      </c>
      <c r="D13" s="179"/>
      <c r="E13" s="170" t="s">
        <v>316</v>
      </c>
      <c r="F13" s="180" t="s">
        <v>236</v>
      </c>
      <c r="G13" s="181" t="s">
        <v>303</v>
      </c>
      <c r="H13" s="182">
        <f>_xlfn.IFS(G13="Barangay road
City road",CEILING(2600000*1,1000),G13="Barangay road
City road
National road",CEILING(2600000*2,1000),G13="Barangay road
National road",CEILING(2600000*2,1000),G13="Barangay road",CEILING(2600000*1,1000),G13="City road",CEILING(2600000*1,1000),G13="Barangay road
City road",CEILING(2600000*1,1000),G13="National road",CEILING(2600000*2,1000),G13="Barangay road
NIA
Provincial road",CEILING(2600000*1,1000),G13="Barangay road
NIA
National road",CEILING(2600000*2,1000),G13="Barangay road
Private road
Provincial road",CEILING(2600000*1,1000),G13="Barangay road
Private road
Provincial road
National road",CEILING(2600000*2,1000),G13="Barangay road
NIA
National road
Provincial road",CEILING(2600000*2,1000),G13="Barangay road
Provincial road",CEILING(2600000*1,1000),G13="Barangay road
City road
National road
Provincial road",CEILING(2600000*2,1000),G13="Barangay road
National road
Provincial road",CEILING(2600000*2,1000))</f>
        <v>2600000</v>
      </c>
      <c r="I13" s="204">
        <v>17.492000000000001</v>
      </c>
      <c r="J13" s="183">
        <v>9.0850669999999987</v>
      </c>
      <c r="K13" s="182">
        <f>H13*J13</f>
        <v>23621174.199999996</v>
      </c>
      <c r="L13" s="175">
        <f t="shared" si="0"/>
        <v>0.51938411845415033</v>
      </c>
      <c r="M13" s="170">
        <f>_xlfn.IFS(L13&lt;=5%,1,AND(L13&gt;5%,L13&lt;=15%),2,AND(L13&gt;15%,L13&lt;=30%),3,AND(L13&gt;30%,L13&lt;=50%),4,L13&gt;50%,5)</f>
        <v>5</v>
      </c>
      <c r="N13" s="184"/>
      <c r="O13" s="191">
        <f>J13*P13</f>
        <v>0.15717165909999997</v>
      </c>
      <c r="P13" s="192">
        <v>1.7299999999999999E-2</v>
      </c>
      <c r="Q13" s="170">
        <f>_xlfn.IFS(P13&lt;=5%,1,AND(P13&gt;5%,P13&lt;=15%),2,AND(P13&gt;15%,P13&lt;=30%),3,AND(P13&gt;30%,P13&lt;=50%),4,P13&gt;50%,5)</f>
        <v>1</v>
      </c>
      <c r="R13" s="191">
        <f>J13-O13</f>
        <v>8.9278953408999993</v>
      </c>
      <c r="S13" s="192">
        <f>R13/J13</f>
        <v>0.98270000000000002</v>
      </c>
      <c r="T13" s="170">
        <f>_xlfn.IFS(S13&lt;=5%,1,AND(S13&gt;5%,S13&lt;=15%),2,AND(S13&gt;15%,S13&lt;=30%),3,AND(S13&gt;30%,S13&lt;=50%),4,S13&gt;50%,5)</f>
        <v>5</v>
      </c>
      <c r="U13" s="193">
        <f>AVERAGE(Q13,T13)</f>
        <v>3</v>
      </c>
      <c r="V13" s="184"/>
      <c r="W13" s="193">
        <f>AVERAGE(M13,U13)</f>
        <v>4</v>
      </c>
      <c r="X13" s="170" t="str">
        <f>_xlfn.IFS(AND(W13&gt;4,W13&lt;=5),"VERY HIGH",AND(W13&gt;3,W13&lt;=4),"HIGH",AND(W13&gt;2,W13&lt;=3),"MODERATE",AND(W13&gt;1,W13&lt;=2),"LOW",W13&lt;=1,"VERY LOW")</f>
        <v>HIGH</v>
      </c>
      <c r="Y13" s="194" t="s">
        <v>90</v>
      </c>
      <c r="Z13" s="170">
        <v>4</v>
      </c>
      <c r="AA13" s="194" t="s">
        <v>91</v>
      </c>
      <c r="AB13" s="170">
        <v>2</v>
      </c>
      <c r="AC13" s="194" t="s">
        <v>92</v>
      </c>
      <c r="AD13" s="170">
        <v>4</v>
      </c>
      <c r="AE13" s="194" t="s">
        <v>93</v>
      </c>
      <c r="AF13" s="170">
        <v>4</v>
      </c>
      <c r="AG13" s="194" t="s">
        <v>89</v>
      </c>
      <c r="AH13" s="170">
        <v>4</v>
      </c>
      <c r="AI13" s="194" t="s">
        <v>88</v>
      </c>
      <c r="AJ13" s="170">
        <v>4</v>
      </c>
      <c r="AK13" s="193">
        <f>AVERAGE(Z13,AB13,AD13,AF13,AH13,AJ13)</f>
        <v>3.6666666666666665</v>
      </c>
      <c r="AL13" s="184"/>
      <c r="AM13" s="193">
        <f>W13/AK13</f>
        <v>1.0909090909090911</v>
      </c>
      <c r="AN13" s="170" t="str">
        <f>_xlfn.IFS(AM13&lt;=1,"LOW",AND(AM13&gt;1,AM13&lt;=2),"MEDIUM LOW",AND(AM13&gt;2,AM13&lt;=3),"MEDIUM",AND(AM13&gt;3,AM13&lt;=4),"MEDIUM HIGH",AND(AM13&gt;4,AM13&lt;=5),"HIGH")</f>
        <v>MEDIUM LOW</v>
      </c>
      <c r="AO13" s="170">
        <v>1</v>
      </c>
      <c r="AP13" s="170">
        <f>AO13*C13</f>
        <v>6</v>
      </c>
      <c r="AQ13" s="170" t="str">
        <f>_xlfn.IFS(AP13&lt;=5,"LOW RISK",AND(AP13&gt;5,AP13&lt;=12),"MODERATE RISK",AP13&gt;12,"HIGH RISK")</f>
        <v>MODERATE RISK</v>
      </c>
    </row>
    <row r="14" spans="1:43" s="177" customFormat="1" ht="56.25">
      <c r="A14" s="178"/>
      <c r="B14" s="87" t="s">
        <v>230</v>
      </c>
      <c r="C14" s="87">
        <v>6</v>
      </c>
      <c r="D14" s="179"/>
      <c r="E14" s="170" t="s">
        <v>315</v>
      </c>
      <c r="F14" s="180" t="s">
        <v>237</v>
      </c>
      <c r="G14" s="181" t="s">
        <v>301</v>
      </c>
      <c r="H14" s="182">
        <f>_xlfn.IFS(G14="Barangay road
City road",CEILING(2600000*1,1000),G14="Barangay road
City road
National road",CEILING(2600000*2,1000),G14="Barangay road
National road",CEILING(2600000*2,1000),G14="Barangay road",CEILING(2600000*1,1000),G14="City road",CEILING(2600000*1,1000),G14="Barangay road
City road",CEILING(2600000*1,1000),G14="National road",CEILING(2600000*2,1000),G14="Barangay road
NIA
Provincial road",CEILING(2600000*1,1000),G14="Barangay road
NIA
National road",CEILING(2600000*2,1000),G14="Barangay road
Private road
Provincial road",CEILING(2600000*1,1000),G14="Barangay road
Private road
Provincial road
National road",CEILING(2600000*2,1000),G14="Barangay road
NIA
National road
Provincial road",CEILING(2600000*2,1000),G14="Barangay road
Provincial road",CEILING(2600000*1,1000),G14="Barangay road
City road
National road
Provincial road",CEILING(2600000*2,1000),G14="Barangay road
National road
Provincial road",CEILING(2600000*2,1000))</f>
        <v>5200000</v>
      </c>
      <c r="I14" s="204">
        <v>31.075049</v>
      </c>
      <c r="J14" s="182">
        <v>31.075058000000002</v>
      </c>
      <c r="K14" s="182">
        <f t="shared" ref="K14:K16" si="1">H14*J14</f>
        <v>161590301.60000002</v>
      </c>
      <c r="L14" s="175">
        <f t="shared" si="0"/>
        <v>1.000000289621426</v>
      </c>
      <c r="M14" s="170">
        <f>_xlfn.IFS(L14&lt;=5%,1,AND(L14&gt;5%,L14&lt;=15%),2,AND(L14&gt;15%,L14&lt;=30%),3,AND(L14&gt;30%,L14&lt;=50%),4,L14&gt;50%,5)</f>
        <v>5</v>
      </c>
      <c r="N14" s="184"/>
      <c r="O14" s="90">
        <f>I14*P14</f>
        <v>4.4623770364000004</v>
      </c>
      <c r="P14" s="176">
        <v>0.14360000000000001</v>
      </c>
      <c r="Q14" s="87">
        <f>_xlfn.IFS(P14&lt;=5%,1,AND(P14&gt;5%,P14&lt;=15%),2,AND(P14&gt;15%,P14&lt;=30%),3,AND(P14&gt;30%,P14&lt;=50%),4,P14&gt;50%,5)</f>
        <v>2</v>
      </c>
      <c r="R14" s="90">
        <f>I14-O14</f>
        <v>26.6126719636</v>
      </c>
      <c r="S14" s="176">
        <f>R14/I14</f>
        <v>0.85640000000000005</v>
      </c>
      <c r="T14" s="87">
        <f>_xlfn.IFS(S14&lt;=5%,1,AND(S14&gt;5%,S14&lt;=15%),2,AND(S14&gt;15%,S14&lt;=30%),3,AND(S14&gt;30%,S14&lt;=50%),4,S14&gt;50%,5)</f>
        <v>5</v>
      </c>
      <c r="U14" s="89">
        <f>AVERAGE(Q14,T14)</f>
        <v>3.5</v>
      </c>
      <c r="V14" s="179"/>
      <c r="W14" s="89">
        <f>AVERAGE(M14,U14)</f>
        <v>4.25</v>
      </c>
      <c r="X14" s="87" t="str">
        <f>_xlfn.IFS(AND(W14&gt;4,W14&lt;=5),"VERY HIGH",AND(W14&gt;3,W14&lt;=4),"HIGH",AND(W14&gt;2,W14&lt;=3),"MODERATE",AND(W14&gt;1,W14&lt;=2),"LOW",W14&lt;=1,"VERY LOW")</f>
        <v>VERY HIGH</v>
      </c>
      <c r="Y14" s="88" t="s">
        <v>90</v>
      </c>
      <c r="Z14" s="87">
        <v>4</v>
      </c>
      <c r="AA14" s="88" t="s">
        <v>91</v>
      </c>
      <c r="AB14" s="87">
        <v>2</v>
      </c>
      <c r="AC14" s="88" t="s">
        <v>92</v>
      </c>
      <c r="AD14" s="87">
        <v>4</v>
      </c>
      <c r="AE14" s="88" t="s">
        <v>93</v>
      </c>
      <c r="AF14" s="87">
        <v>4</v>
      </c>
      <c r="AG14" s="88" t="s">
        <v>89</v>
      </c>
      <c r="AH14" s="87">
        <v>4</v>
      </c>
      <c r="AI14" s="88" t="s">
        <v>88</v>
      </c>
      <c r="AJ14" s="87">
        <v>4</v>
      </c>
      <c r="AK14" s="89">
        <f>AVERAGE(Z14,AB14,AD14,AF14,AH14,AJ14)</f>
        <v>3.6666666666666665</v>
      </c>
      <c r="AL14" s="179"/>
      <c r="AM14" s="89">
        <f>W14/AK14</f>
        <v>1.1590909090909092</v>
      </c>
      <c r="AN14" s="87" t="str">
        <f>_xlfn.IFS(AM14&lt;=1,"LOW",AND(AM14&gt;1,AM14&lt;=2),"MEDIUM LOW",AND(AM14&gt;2,AM14&lt;=3),"MEDIUM",AND(AM14&gt;3,AM14&lt;=4),"MEDIUM HIGH",AND(AM14&gt;4,AM14&lt;=5),"HIGH")</f>
        <v>MEDIUM LOW</v>
      </c>
      <c r="AO14" s="87">
        <v>1</v>
      </c>
      <c r="AP14" s="87">
        <f>AO14*C14</f>
        <v>6</v>
      </c>
      <c r="AQ14" s="87" t="str">
        <f>_xlfn.IFS(AP14&lt;=5,"LOW RISK",AND(AP14&gt;5,AP14&lt;=12),"MODERATE RISK",AP14&gt;12,"HIGH RISK")</f>
        <v>MODERATE RISK</v>
      </c>
    </row>
    <row r="15" spans="1:43" s="177" customFormat="1" ht="56.25">
      <c r="A15" s="178"/>
      <c r="B15" s="87" t="s">
        <v>230</v>
      </c>
      <c r="C15" s="87">
        <v>6</v>
      </c>
      <c r="D15" s="179"/>
      <c r="E15" s="170" t="s">
        <v>318</v>
      </c>
      <c r="F15" s="180" t="s">
        <v>238</v>
      </c>
      <c r="G15" s="181" t="s">
        <v>300</v>
      </c>
      <c r="H15" s="182">
        <f>_xlfn.IFS(G15="Barangay road
City road",CEILING(2600000*1,1000),G15="Barangay road
City road
National road",CEILING(2600000*2,1000),G15="Barangay road
National road",CEILING(2600000*2,1000),G15="Barangay road",CEILING(2600000*1,1000),G15="City road",CEILING(2600000*1,1000),G15="Barangay road
City road",CEILING(2600000*1,1000),G15="National road",CEILING(2600000*2,1000),G15="Barangay road
NIA
Provincial road",CEILING(2600000*1,1000),G15="Barangay road
NIA
National road",CEILING(2600000*2,1000),G15="Barangay road
Private road
Provincial road",CEILING(2600000*1,1000),G15="Barangay road
Private road
Provincial road
National road",CEILING(2600000*2,1000),G15="Barangay road
NIA
National road
Provincial road",CEILING(2600000*2,1000),G15="Barangay road
Provincial road",CEILING(2600000*1,1000),G15="Barangay road
City road
National road
Provincial road",CEILING(2600000*2,1000),G15="Barangay road
National road
Provincial road",CEILING(2600000*2,1000))</f>
        <v>2600000</v>
      </c>
      <c r="I15" s="204">
        <v>4.4961690000000001</v>
      </c>
      <c r="J15" s="182">
        <v>4.4961715</v>
      </c>
      <c r="K15" s="182">
        <f t="shared" si="1"/>
        <v>11690045.9</v>
      </c>
      <c r="L15" s="175">
        <f t="shared" si="0"/>
        <v>1.0000005560289216</v>
      </c>
      <c r="M15" s="170">
        <f>_xlfn.IFS(L15&lt;=5%,1,AND(L15&gt;5%,L15&lt;=15%),2,AND(L15&gt;15%,L15&lt;=30%),3,AND(L15&gt;30%,L15&lt;=50%),4,L15&gt;50%,5)</f>
        <v>5</v>
      </c>
      <c r="N15" s="184"/>
      <c r="O15" s="90">
        <f>I15*P15</f>
        <v>3.8028597402000002</v>
      </c>
      <c r="P15" s="176">
        <v>0.8458</v>
      </c>
      <c r="Q15" s="87">
        <f>_xlfn.IFS(P15&lt;=5%,1,AND(P15&gt;5%,P15&lt;=15%),2,AND(P15&gt;15%,P15&lt;=30%),3,AND(P15&gt;30%,P15&lt;=50%),4,P15&gt;50%,5)</f>
        <v>5</v>
      </c>
      <c r="R15" s="90">
        <f>I15-O15</f>
        <v>0.69330925979999991</v>
      </c>
      <c r="S15" s="176">
        <f>R15/I15</f>
        <v>0.15419999999999998</v>
      </c>
      <c r="T15" s="87">
        <f>_xlfn.IFS(S15&lt;=5%,1,AND(S15&gt;5%,S15&lt;=15%),2,AND(S15&gt;15%,S15&lt;=30%),3,AND(S15&gt;30%,S15&lt;=50%),4,S15&gt;50%,5)</f>
        <v>3</v>
      </c>
      <c r="U15" s="89">
        <f>AVERAGE(Q15,T15)</f>
        <v>4</v>
      </c>
      <c r="V15" s="179"/>
      <c r="W15" s="89">
        <f>AVERAGE(M15,U15)</f>
        <v>4.5</v>
      </c>
      <c r="X15" s="87" t="str">
        <f>_xlfn.IFS(AND(W15&gt;4,W15&lt;=5),"VERY HIGH",AND(W15&gt;3,W15&lt;=4),"HIGH",AND(W15&gt;2,W15&lt;=3),"MODERATE",AND(W15&gt;1,W15&lt;=2),"LOW",W15&lt;=1,"VERY LOW")</f>
        <v>VERY HIGH</v>
      </c>
      <c r="Y15" s="88" t="s">
        <v>90</v>
      </c>
      <c r="Z15" s="87">
        <v>4</v>
      </c>
      <c r="AA15" s="88" t="s">
        <v>91</v>
      </c>
      <c r="AB15" s="87">
        <v>2</v>
      </c>
      <c r="AC15" s="88" t="s">
        <v>92</v>
      </c>
      <c r="AD15" s="87">
        <v>4</v>
      </c>
      <c r="AE15" s="88" t="s">
        <v>93</v>
      </c>
      <c r="AF15" s="87">
        <v>4</v>
      </c>
      <c r="AG15" s="88" t="s">
        <v>89</v>
      </c>
      <c r="AH15" s="87">
        <v>4</v>
      </c>
      <c r="AI15" s="88" t="s">
        <v>88</v>
      </c>
      <c r="AJ15" s="87">
        <v>4</v>
      </c>
      <c r="AK15" s="89">
        <f>AVERAGE(Z15,AB15,AD15,AF15,AH15,AJ15)</f>
        <v>3.6666666666666665</v>
      </c>
      <c r="AL15" s="179"/>
      <c r="AM15" s="89">
        <f>W15/AK15</f>
        <v>1.2272727272727273</v>
      </c>
      <c r="AN15" s="87" t="str">
        <f>_xlfn.IFS(AM15&lt;=1,"LOW",AND(AM15&gt;1,AM15&lt;=2),"MEDIUM LOW",AND(AM15&gt;2,AM15&lt;=3),"MEDIUM",AND(AM15&gt;3,AM15&lt;=4),"MEDIUM HIGH",AND(AM15&gt;4,AM15&lt;=5),"HIGH")</f>
        <v>MEDIUM LOW</v>
      </c>
      <c r="AO15" s="87">
        <v>3</v>
      </c>
      <c r="AP15" s="87">
        <f>AO15*C15</f>
        <v>18</v>
      </c>
      <c r="AQ15" s="87" t="str">
        <f>_xlfn.IFS(AP15&lt;=5,"LOW RISK",AND(AP15&gt;5,AP15&lt;=12),"MODERATE RISK",AP15&gt;12,"HIGH RISK")</f>
        <v>HIGH RISK</v>
      </c>
    </row>
    <row r="16" spans="1:43" s="177" customFormat="1" ht="56.25">
      <c r="A16" s="178"/>
      <c r="B16" s="87" t="s">
        <v>230</v>
      </c>
      <c r="C16" s="87">
        <v>6</v>
      </c>
      <c r="D16" s="179"/>
      <c r="E16" s="170" t="s">
        <v>315</v>
      </c>
      <c r="F16" s="180" t="s">
        <v>35</v>
      </c>
      <c r="G16" s="181" t="s">
        <v>301</v>
      </c>
      <c r="H16" s="182">
        <f>_xlfn.IFS(G16="Barangay road
City road",CEILING(2600000*1,1000),G16="Barangay road
City road
National road",CEILING(2600000*2,1000),G16="Barangay road
National road",CEILING(2600000*2,1000),G16="Barangay road",CEILING(2600000*1,1000),G16="City road",CEILING(2600000*1,1000),G16="Barangay road
City road",CEILING(2600000*1,1000),G16="National road",CEILING(2600000*2,1000),G16="Barangay road
NIA
Provincial road",CEILING(2600000*1,1000),G16="Barangay road
NIA
National road",CEILING(2600000*2,1000),G16="Barangay road
Private road
Provincial road",CEILING(2600000*1,1000),G16="Barangay road
Private road
Provincial road
National road",CEILING(2600000*2,1000),G16="Barangay road
NIA
National road
Provincial road",CEILING(2600000*2,1000),G16="Barangay road
Provincial road",CEILING(2600000*1,1000),G16="Barangay road
City road
National road
Provincial road",CEILING(2600000*2,1000),G16="Barangay road
National road
Provincial road",CEILING(2600000*2,1000))</f>
        <v>5200000</v>
      </c>
      <c r="I16" s="204">
        <v>3.8818688999999997</v>
      </c>
      <c r="J16" s="182">
        <v>3.88186747</v>
      </c>
      <c r="K16" s="182">
        <f t="shared" si="1"/>
        <v>20185710.844000001</v>
      </c>
      <c r="L16" s="175">
        <f t="shared" si="0"/>
        <v>0.99999963162073824</v>
      </c>
      <c r="M16" s="170">
        <f>_xlfn.IFS(L16&lt;=5%,1,AND(L16&gt;5%,L16&lt;=15%),2,AND(L16&gt;15%,L16&lt;=30%),3,AND(L16&gt;30%,L16&lt;=50%),4,L16&gt;50%,5)</f>
        <v>5</v>
      </c>
      <c r="N16" s="184"/>
      <c r="O16" s="90">
        <f>I16*P16</f>
        <v>2.1583191084000002</v>
      </c>
      <c r="P16" s="176">
        <v>0.55600000000000005</v>
      </c>
      <c r="Q16" s="87">
        <f>_xlfn.IFS(P16&lt;=5%,1,AND(P16&gt;5%,P16&lt;=15%),2,AND(P16&gt;15%,P16&lt;=30%),3,AND(P16&gt;30%,P16&lt;=50%),4,P16&gt;50%,5)</f>
        <v>5</v>
      </c>
      <c r="R16" s="90">
        <f>I16-O16</f>
        <v>1.7235497915999995</v>
      </c>
      <c r="S16" s="176">
        <f>R16/I16</f>
        <v>0.44399999999999989</v>
      </c>
      <c r="T16" s="87">
        <f>_xlfn.IFS(S16&lt;=5%,1,AND(S16&gt;5%,S16&lt;=15%),2,AND(S16&gt;15%,S16&lt;=30%),3,AND(S16&gt;30%,S16&lt;=50%),4,S16&gt;50%,5)</f>
        <v>4</v>
      </c>
      <c r="U16" s="89">
        <f>AVERAGE(Q16,T16)</f>
        <v>4.5</v>
      </c>
      <c r="V16" s="179"/>
      <c r="W16" s="89">
        <f>AVERAGE(M16,U16)</f>
        <v>4.75</v>
      </c>
      <c r="X16" s="87" t="str">
        <f>_xlfn.IFS(AND(W16&gt;4,W16&lt;=5),"VERY HIGH",AND(W16&gt;3,W16&lt;=4),"HIGH",AND(W16&gt;2,W16&lt;=3),"MODERATE",AND(W16&gt;1,W16&lt;=2),"LOW",W16&lt;=1,"VERY LOW")</f>
        <v>VERY HIGH</v>
      </c>
      <c r="Y16" s="88" t="s">
        <v>90</v>
      </c>
      <c r="Z16" s="87">
        <v>4</v>
      </c>
      <c r="AA16" s="88" t="s">
        <v>91</v>
      </c>
      <c r="AB16" s="87">
        <v>2</v>
      </c>
      <c r="AC16" s="88" t="s">
        <v>92</v>
      </c>
      <c r="AD16" s="87">
        <v>4</v>
      </c>
      <c r="AE16" s="88" t="s">
        <v>93</v>
      </c>
      <c r="AF16" s="87">
        <v>4</v>
      </c>
      <c r="AG16" s="88" t="s">
        <v>89</v>
      </c>
      <c r="AH16" s="87">
        <v>4</v>
      </c>
      <c r="AI16" s="88" t="s">
        <v>88</v>
      </c>
      <c r="AJ16" s="87">
        <v>4</v>
      </c>
      <c r="AK16" s="89">
        <f>AVERAGE(Z16,AB16,AD16,AF16,AH16,AJ16)</f>
        <v>3.6666666666666665</v>
      </c>
      <c r="AL16" s="179"/>
      <c r="AM16" s="89">
        <f>W16/AK16</f>
        <v>1.2954545454545454</v>
      </c>
      <c r="AN16" s="87" t="str">
        <f>_xlfn.IFS(AM16&lt;=1,"LOW",AND(AM16&gt;1,AM16&lt;=2),"MEDIUM LOW",AND(AM16&gt;2,AM16&lt;=3),"MEDIUM",AND(AM16&gt;3,AM16&lt;=4),"MEDIUM HIGH",AND(AM16&gt;4,AM16&lt;=5),"HIGH")</f>
        <v>MEDIUM LOW</v>
      </c>
      <c r="AO16" s="87">
        <v>1</v>
      </c>
      <c r="AP16" s="87">
        <f>AO16*C16</f>
        <v>6</v>
      </c>
      <c r="AQ16" s="87" t="str">
        <f>_xlfn.IFS(AP16&lt;=5,"LOW RISK",AND(AP16&gt;5,AP16&lt;=12),"MODERATE RISK",AP16&gt;12,"HIGH RISK")</f>
        <v>MODERATE RISK</v>
      </c>
    </row>
    <row r="17" spans="1:43" s="177" customFormat="1" ht="56.25">
      <c r="A17" s="178"/>
      <c r="B17" s="87" t="s">
        <v>230</v>
      </c>
      <c r="C17" s="87">
        <v>6</v>
      </c>
      <c r="D17" s="179"/>
      <c r="E17" s="170" t="s">
        <v>318</v>
      </c>
      <c r="F17" s="180" t="s">
        <v>36</v>
      </c>
      <c r="G17" s="181" t="s">
        <v>300</v>
      </c>
      <c r="H17" s="182">
        <f>_xlfn.IFS(G17="Barangay road
City road",CEILING(2600000*1,1000),G17="Barangay road
City road
National road",CEILING(2600000*2,1000),G17="Barangay road
National road",CEILING(2600000*2,1000),G17="Barangay road",CEILING(2600000*1,1000),G17="City road",CEILING(2600000*1,1000),G17="Barangay road
City road",CEILING(2600000*1,1000),G17="National road",CEILING(2600000*2,1000),G17="Barangay road
NIA
Provincial road",CEILING(2600000*1,1000),G17="Barangay road
NIA
National road",CEILING(2600000*2,1000),G17="Barangay road
Private road
Provincial road",CEILING(2600000*1,1000),G17="Barangay road
Private road
Provincial road
National road",CEILING(2600000*2,1000),G17="Barangay road
NIA
National road
Provincial road",CEILING(2600000*2,1000),G17="Barangay road
Provincial road",CEILING(2600000*1,1000),G17="Barangay road
City road
National road
Provincial road",CEILING(2600000*2,1000),G17="Barangay road
National road
Provincial road",CEILING(2600000*2,1000))</f>
        <v>2600000</v>
      </c>
      <c r="I17" s="204">
        <v>6.0354999999999999</v>
      </c>
      <c r="J17" s="183">
        <v>6.0354999999999999</v>
      </c>
      <c r="K17" s="182">
        <f>H17*J17</f>
        <v>15692300</v>
      </c>
      <c r="L17" s="175">
        <f t="shared" si="0"/>
        <v>1</v>
      </c>
      <c r="M17" s="170">
        <f>_xlfn.IFS(L17&lt;=5%,1,AND(L17&gt;5%,L17&lt;=15%),2,AND(L17&gt;15%,L17&lt;=30%),3,AND(L17&gt;30%,L17&lt;=50%),4,L17&gt;50%,5)</f>
        <v>5</v>
      </c>
      <c r="N17" s="184"/>
      <c r="O17" s="90">
        <f>J17*P17</f>
        <v>1.53844895</v>
      </c>
      <c r="P17" s="176">
        <v>0.25490000000000002</v>
      </c>
      <c r="Q17" s="87">
        <f>_xlfn.IFS(P17&lt;=5%,1,AND(P17&gt;5%,P17&lt;=15%),2,AND(P17&gt;15%,P17&lt;=30%),3,AND(P17&gt;30%,P17&lt;=50%),4,P17&gt;50%,5)</f>
        <v>3</v>
      </c>
      <c r="R17" s="90">
        <f>J17-O17</f>
        <v>4.4970510499999996</v>
      </c>
      <c r="S17" s="176">
        <f>R17/J17</f>
        <v>0.74509999999999998</v>
      </c>
      <c r="T17" s="87">
        <f>_xlfn.IFS(S17&lt;=5%,1,AND(S17&gt;5%,S17&lt;=15%),2,AND(S17&gt;15%,S17&lt;=30%),3,AND(S17&gt;30%,S17&lt;=50%),4,S17&gt;50%,5)</f>
        <v>5</v>
      </c>
      <c r="U17" s="89">
        <f>AVERAGE(Q17,T17)</f>
        <v>4</v>
      </c>
      <c r="V17" s="179"/>
      <c r="W17" s="89">
        <f>AVERAGE(M17,U17)</f>
        <v>4.5</v>
      </c>
      <c r="X17" s="87" t="str">
        <f>_xlfn.IFS(AND(W17&gt;4,W17&lt;=5),"VERY HIGH",AND(W17&gt;3,W17&lt;=4),"HIGH",AND(W17&gt;2,W17&lt;=3),"MODERATE",AND(W17&gt;1,W17&lt;=2),"LOW",W17&lt;=1,"VERY LOW")</f>
        <v>VERY HIGH</v>
      </c>
      <c r="Y17" s="88" t="s">
        <v>90</v>
      </c>
      <c r="Z17" s="87">
        <v>4</v>
      </c>
      <c r="AA17" s="88" t="s">
        <v>91</v>
      </c>
      <c r="AB17" s="87">
        <v>2</v>
      </c>
      <c r="AC17" s="88" t="s">
        <v>92</v>
      </c>
      <c r="AD17" s="87">
        <v>4</v>
      </c>
      <c r="AE17" s="88" t="s">
        <v>93</v>
      </c>
      <c r="AF17" s="87">
        <v>4</v>
      </c>
      <c r="AG17" s="88" t="s">
        <v>89</v>
      </c>
      <c r="AH17" s="87">
        <v>4</v>
      </c>
      <c r="AI17" s="88" t="s">
        <v>88</v>
      </c>
      <c r="AJ17" s="87">
        <v>4</v>
      </c>
      <c r="AK17" s="89">
        <f>AVERAGE(Z17,AB17,AD17,AF17,AH17,AJ17)</f>
        <v>3.6666666666666665</v>
      </c>
      <c r="AL17" s="179"/>
      <c r="AM17" s="89">
        <f>W17/AK17</f>
        <v>1.2272727272727273</v>
      </c>
      <c r="AN17" s="87" t="str">
        <f>_xlfn.IFS(AM17&lt;=1,"LOW",AND(AM17&gt;1,AM17&lt;=2),"MEDIUM LOW",AND(AM17&gt;2,AM17&lt;=3),"MEDIUM",AND(AM17&gt;3,AM17&lt;=4),"MEDIUM HIGH",AND(AM17&gt;4,AM17&lt;=5),"HIGH")</f>
        <v>MEDIUM LOW</v>
      </c>
      <c r="AO17" s="87">
        <v>3</v>
      </c>
      <c r="AP17" s="87">
        <f>AO17*C17</f>
        <v>18</v>
      </c>
      <c r="AQ17" s="87" t="str">
        <f>_xlfn.IFS(AP17&lt;=5,"LOW RISK",AND(AP17&gt;5,AP17&lt;=12),"MODERATE RISK",AP17&gt;12,"HIGH RISK")</f>
        <v>HIGH RISK</v>
      </c>
    </row>
    <row r="18" spans="1:43" s="177" customFormat="1" ht="56.25">
      <c r="A18" s="178"/>
      <c r="B18" s="87" t="s">
        <v>230</v>
      </c>
      <c r="C18" s="87">
        <v>6</v>
      </c>
      <c r="D18" s="179"/>
      <c r="E18" s="170" t="s">
        <v>315</v>
      </c>
      <c r="F18" s="180" t="s">
        <v>37</v>
      </c>
      <c r="G18" s="181" t="s">
        <v>304</v>
      </c>
      <c r="H18" s="182">
        <f>_xlfn.IFS(G18="Barangay road
City road",CEILING(2600000*1,1000),G18="Barangay road
City road
National road",CEILING(2600000*2,1000),G18="Barangay road
National road",CEILING(2600000*2,1000),G18="Barangay road",CEILING(2600000*1,1000),G18="City road",CEILING(2600000*1,1000),G18="Barangay road
City road",CEILING(2600000*1,1000),G18="National road",CEILING(2600000*2,1000),G18="Barangay road
NIA
Provincial road",CEILING(2600000*1,1000),G18="Barangay road
NIA
National road",CEILING(2600000*2,1000),G18="Barangay road
Private road
Provincial road",CEILING(2600000*1,1000),G18="Barangay road
Private road
Provincial road
National road",CEILING(2600000*2,1000),G18="Barangay road
NIA
National road
Provincial road",CEILING(2600000*2,1000),G18="Barangay road
Provincial road",CEILING(2600000*1,1000),G18="Barangay road
City road
National road
Provincial road",CEILING(2600000*2,1000),G18="Barangay road
National road
Provincial road",CEILING(2600000*2,1000))</f>
        <v>5200000</v>
      </c>
      <c r="I18" s="204">
        <v>39.374396000000004</v>
      </c>
      <c r="J18" s="183">
        <v>29.435226</v>
      </c>
      <c r="K18" s="182">
        <f>H18*J18</f>
        <v>153063175.19999999</v>
      </c>
      <c r="L18" s="175">
        <f t="shared" si="0"/>
        <v>0.74757276276695128</v>
      </c>
      <c r="M18" s="170">
        <f>_xlfn.IFS(L18&lt;=5%,1,AND(L18&gt;5%,L18&lt;=15%),2,AND(L18&gt;15%,L18&lt;=30%),3,AND(L18&gt;30%,L18&lt;=50%),4,L18&gt;50%,5)</f>
        <v>5</v>
      </c>
      <c r="N18" s="184"/>
      <c r="O18" s="90">
        <f>J18*P18</f>
        <v>14.196609499800001</v>
      </c>
      <c r="P18" s="176">
        <v>0.48230000000000001</v>
      </c>
      <c r="Q18" s="87">
        <f>_xlfn.IFS(P18&lt;=5%,1,AND(P18&gt;5%,P18&lt;=15%),2,AND(P18&gt;15%,P18&lt;=30%),3,AND(P18&gt;30%,P18&lt;=50%),4,P18&gt;50%,5)</f>
        <v>4</v>
      </c>
      <c r="R18" s="90">
        <f>J18-O18</f>
        <v>15.238616500199999</v>
      </c>
      <c r="S18" s="176">
        <f>R18/J18</f>
        <v>0.51769999999999994</v>
      </c>
      <c r="T18" s="87">
        <f>_xlfn.IFS(S18&lt;=5%,1,AND(S18&gt;5%,S18&lt;=15%),2,AND(S18&gt;15%,S18&lt;=30%),3,AND(S18&gt;30%,S18&lt;=50%),4,S18&gt;50%,5)</f>
        <v>5</v>
      </c>
      <c r="U18" s="89">
        <f>AVERAGE(Q18,T18)</f>
        <v>4.5</v>
      </c>
      <c r="V18" s="179"/>
      <c r="W18" s="89">
        <f>AVERAGE(M18,U18)</f>
        <v>4.75</v>
      </c>
      <c r="X18" s="87" t="str">
        <f>_xlfn.IFS(AND(W18&gt;4,W18&lt;=5),"VERY HIGH",AND(W18&gt;3,W18&lt;=4),"HIGH",AND(W18&gt;2,W18&lt;=3),"MODERATE",AND(W18&gt;1,W18&lt;=2),"LOW",W18&lt;=1,"VERY LOW")</f>
        <v>VERY HIGH</v>
      </c>
      <c r="Y18" s="88" t="s">
        <v>90</v>
      </c>
      <c r="Z18" s="87">
        <v>4</v>
      </c>
      <c r="AA18" s="88" t="s">
        <v>91</v>
      </c>
      <c r="AB18" s="87">
        <v>2</v>
      </c>
      <c r="AC18" s="88" t="s">
        <v>92</v>
      </c>
      <c r="AD18" s="87">
        <v>4</v>
      </c>
      <c r="AE18" s="88" t="s">
        <v>93</v>
      </c>
      <c r="AF18" s="87">
        <v>4</v>
      </c>
      <c r="AG18" s="88" t="s">
        <v>89</v>
      </c>
      <c r="AH18" s="87">
        <v>4</v>
      </c>
      <c r="AI18" s="88" t="s">
        <v>88</v>
      </c>
      <c r="AJ18" s="87">
        <v>4</v>
      </c>
      <c r="AK18" s="89">
        <f>AVERAGE(Z18,AB18,AD18,AF18,AH18,AJ18)</f>
        <v>3.6666666666666665</v>
      </c>
      <c r="AL18" s="179"/>
      <c r="AM18" s="89">
        <f>W18/AK18</f>
        <v>1.2954545454545454</v>
      </c>
      <c r="AN18" s="87" t="str">
        <f>_xlfn.IFS(AM18&lt;=1,"LOW",AND(AM18&gt;1,AM18&lt;=2),"MEDIUM LOW",AND(AM18&gt;2,AM18&lt;=3),"MEDIUM",AND(AM18&gt;3,AM18&lt;=4),"MEDIUM HIGH",AND(AM18&gt;4,AM18&lt;=5),"HIGH")</f>
        <v>MEDIUM LOW</v>
      </c>
      <c r="AO18" s="87">
        <v>1</v>
      </c>
      <c r="AP18" s="87">
        <f>AO18*C18</f>
        <v>6</v>
      </c>
      <c r="AQ18" s="87" t="str">
        <f>_xlfn.IFS(AP18&lt;=5,"LOW RISK",AND(AP18&gt;5,AP18&lt;=12),"MODERATE RISK",AP18&gt;12,"HIGH RISK")</f>
        <v>MODERATE RISK</v>
      </c>
    </row>
    <row r="19" spans="1:43" s="177" customFormat="1" ht="56.25">
      <c r="A19" s="178"/>
      <c r="B19" s="87" t="s">
        <v>230</v>
      </c>
      <c r="C19" s="87">
        <v>6</v>
      </c>
      <c r="D19" s="179"/>
      <c r="E19" s="170" t="s">
        <v>315</v>
      </c>
      <c r="F19" s="180" t="s">
        <v>38</v>
      </c>
      <c r="G19" s="181" t="s">
        <v>300</v>
      </c>
      <c r="H19" s="182">
        <f>_xlfn.IFS(G19="Barangay road
City road",CEILING(2600000*1,1000),G19="Barangay road
City road
National road",CEILING(2600000*2,1000),G19="Barangay road
National road",CEILING(2600000*2,1000),G19="Barangay road",CEILING(2600000*1,1000),G19="City road",CEILING(2600000*1,1000),G19="Barangay road
City road",CEILING(2600000*1,1000),G19="National road",CEILING(2600000*2,1000),G19="Barangay road
NIA
Provincial road",CEILING(2600000*1,1000),G19="Barangay road
NIA
National road",CEILING(2600000*2,1000),G19="Barangay road
Private road
Provincial road",CEILING(2600000*1,1000),G19="Barangay road
Private road
Provincial road
National road",CEILING(2600000*2,1000),G19="Barangay road
NIA
National road
Provincial road",CEILING(2600000*2,1000),G19="Barangay road
Provincial road",CEILING(2600000*1,1000),G19="Barangay road
City road
National road
Provincial road",CEILING(2600000*2,1000),G19="Barangay road
National road
Provincial road",CEILING(2600000*2,1000))</f>
        <v>2600000</v>
      </c>
      <c r="I19" s="204">
        <v>8.7784999999999993</v>
      </c>
      <c r="J19" s="183">
        <v>8.7785031</v>
      </c>
      <c r="K19" s="182">
        <f>H19*J19</f>
        <v>22824108.059999999</v>
      </c>
      <c r="L19" s="175">
        <f t="shared" si="0"/>
        <v>1.0000003531355015</v>
      </c>
      <c r="M19" s="170">
        <f>_xlfn.IFS(L19&lt;=5%,1,AND(L19&gt;5%,L19&lt;=15%),2,AND(L19&gt;15%,L19&lt;=30%),3,AND(L19&gt;30%,L19&lt;=50%),4,L19&gt;50%,5)</f>
        <v>5</v>
      </c>
      <c r="N19" s="184"/>
      <c r="O19" s="90">
        <f>J19*P19</f>
        <v>0.69613529583</v>
      </c>
      <c r="P19" s="176">
        <v>7.9299999999999995E-2</v>
      </c>
      <c r="Q19" s="87">
        <f>_xlfn.IFS(P19&lt;=5%,1,AND(P19&gt;5%,P19&lt;=15%),2,AND(P19&gt;15%,P19&lt;=30%),3,AND(P19&gt;30%,P19&lt;=50%),4,P19&gt;50%,5)</f>
        <v>2</v>
      </c>
      <c r="R19" s="90">
        <f>J19-O19</f>
        <v>8.0823678041699996</v>
      </c>
      <c r="S19" s="176">
        <f>R19/J19</f>
        <v>0.92069999999999996</v>
      </c>
      <c r="T19" s="87">
        <f>_xlfn.IFS(S19&lt;=5%,1,AND(S19&gt;5%,S19&lt;=15%),2,AND(S19&gt;15%,S19&lt;=30%),3,AND(S19&gt;30%,S19&lt;=50%),4,S19&gt;50%,5)</f>
        <v>5</v>
      </c>
      <c r="U19" s="89">
        <f>AVERAGE(Q19,T19)</f>
        <v>3.5</v>
      </c>
      <c r="V19" s="179"/>
      <c r="W19" s="89">
        <f>AVERAGE(M19,U19)</f>
        <v>4.25</v>
      </c>
      <c r="X19" s="87" t="str">
        <f>_xlfn.IFS(AND(W19&gt;4,W19&lt;=5),"VERY HIGH",AND(W19&gt;3,W19&lt;=4),"HIGH",AND(W19&gt;2,W19&lt;=3),"MODERATE",AND(W19&gt;1,W19&lt;=2),"LOW",W19&lt;=1,"VERY LOW")</f>
        <v>VERY HIGH</v>
      </c>
      <c r="Y19" s="88" t="s">
        <v>90</v>
      </c>
      <c r="Z19" s="87">
        <v>4</v>
      </c>
      <c r="AA19" s="88" t="s">
        <v>91</v>
      </c>
      <c r="AB19" s="87">
        <v>2</v>
      </c>
      <c r="AC19" s="88" t="s">
        <v>92</v>
      </c>
      <c r="AD19" s="87">
        <v>4</v>
      </c>
      <c r="AE19" s="88" t="s">
        <v>93</v>
      </c>
      <c r="AF19" s="87">
        <v>4</v>
      </c>
      <c r="AG19" s="88" t="s">
        <v>89</v>
      </c>
      <c r="AH19" s="87">
        <v>4</v>
      </c>
      <c r="AI19" s="88" t="s">
        <v>88</v>
      </c>
      <c r="AJ19" s="87">
        <v>4</v>
      </c>
      <c r="AK19" s="89">
        <f>AVERAGE(Z19,AB19,AD19,AF19,AH19,AJ19)</f>
        <v>3.6666666666666665</v>
      </c>
      <c r="AL19" s="179"/>
      <c r="AM19" s="89">
        <f>W19/AK19</f>
        <v>1.1590909090909092</v>
      </c>
      <c r="AN19" s="87" t="str">
        <f>_xlfn.IFS(AM19&lt;=1,"LOW",AND(AM19&gt;1,AM19&lt;=2),"MEDIUM LOW",AND(AM19&gt;2,AM19&lt;=3),"MEDIUM",AND(AM19&gt;3,AM19&lt;=4),"MEDIUM HIGH",AND(AM19&gt;4,AM19&lt;=5),"HIGH")</f>
        <v>MEDIUM LOW</v>
      </c>
      <c r="AO19" s="87">
        <v>1</v>
      </c>
      <c r="AP19" s="87">
        <f>AO19*C19</f>
        <v>6</v>
      </c>
      <c r="AQ19" s="87" t="str">
        <f>_xlfn.IFS(AP19&lt;=5,"LOW RISK",AND(AP19&gt;5,AP19&lt;=12),"MODERATE RISK",AP19&gt;12,"HIGH RISK")</f>
        <v>MODERATE RISK</v>
      </c>
    </row>
    <row r="20" spans="1:43" s="177" customFormat="1" ht="56.25">
      <c r="A20" s="178"/>
      <c r="B20" s="87" t="s">
        <v>230</v>
      </c>
      <c r="C20" s="87">
        <v>6</v>
      </c>
      <c r="D20" s="179"/>
      <c r="E20" s="170" t="s">
        <v>315</v>
      </c>
      <c r="F20" s="180" t="s">
        <v>39</v>
      </c>
      <c r="G20" s="181" t="s">
        <v>305</v>
      </c>
      <c r="H20" s="182">
        <f>_xlfn.IFS(G20="Barangay road
City road",CEILING(2600000*1,1000),G20="Barangay road
City road
National road",CEILING(2600000*2,1000),G20="Barangay road
National road",CEILING(2600000*2,1000),G20="Barangay road",CEILING(2600000*1,1000),G20="City road",CEILING(2600000*1,1000),G20="Barangay road
City road",CEILING(2600000*1,1000),G20="National road",CEILING(2600000*2,1000),G20="Barangay road
NIA
Provincial road",CEILING(2600000*1,1000),G20="Barangay road
NIA
National road",CEILING(2600000*2,1000),G20="Barangay road
Private road
Provincial road",CEILING(2600000*1,1000),G20="Barangay road
Private road
Provincial road
National road",CEILING(2600000*2,1000),G20="Barangay road
NIA
National road
Provincial road",CEILING(2600000*2,1000),G20="Barangay road
Provincial road",CEILING(2600000*1,1000),G20="Barangay road
City road
National road
Provincial road",CEILING(2600000*2,1000),G20="Barangay road
National road
Provincial road",CEILING(2600000*2,1000))</f>
        <v>2600000</v>
      </c>
      <c r="I20" s="204">
        <v>14.954696999999999</v>
      </c>
      <c r="J20" s="183">
        <v>14.839117</v>
      </c>
      <c r="K20" s="182">
        <f>H20*J20</f>
        <v>38581704.200000003</v>
      </c>
      <c r="L20" s="175">
        <f t="shared" si="0"/>
        <v>0.99227132452098499</v>
      </c>
      <c r="M20" s="170">
        <f>_xlfn.IFS(L20&lt;=5%,1,AND(L20&gt;5%,L20&lt;=15%),2,AND(L20&gt;15%,L20&lt;=30%),3,AND(L20&gt;30%,L20&lt;=50%),4,L20&gt;50%,5)</f>
        <v>5</v>
      </c>
      <c r="N20" s="184"/>
      <c r="O20" s="90">
        <f>J20*P20</f>
        <v>0.3368479559</v>
      </c>
      <c r="P20" s="176">
        <v>2.2700000000000001E-2</v>
      </c>
      <c r="Q20" s="87">
        <f>_xlfn.IFS(P20&lt;=5%,1,AND(P20&gt;5%,P20&lt;=15%),2,AND(P20&gt;15%,P20&lt;=30%),3,AND(P20&gt;30%,P20&lt;=50%),4,P20&gt;50%,5)</f>
        <v>1</v>
      </c>
      <c r="R20" s="90">
        <f>J20-O20</f>
        <v>14.5022690441</v>
      </c>
      <c r="S20" s="176">
        <f>R20/J20</f>
        <v>0.97730000000000006</v>
      </c>
      <c r="T20" s="87">
        <f>_xlfn.IFS(S20&lt;=5%,1,AND(S20&gt;5%,S20&lt;=15%),2,AND(S20&gt;15%,S20&lt;=30%),3,AND(S20&gt;30%,S20&lt;=50%),4,S20&gt;50%,5)</f>
        <v>5</v>
      </c>
      <c r="U20" s="89">
        <f>AVERAGE(Q20,T20)</f>
        <v>3</v>
      </c>
      <c r="V20" s="179"/>
      <c r="W20" s="89">
        <f>AVERAGE(M20,U20)</f>
        <v>4</v>
      </c>
      <c r="X20" s="87" t="str">
        <f>_xlfn.IFS(AND(W20&gt;4,W20&lt;=5),"VERY HIGH",AND(W20&gt;3,W20&lt;=4),"HIGH",AND(W20&gt;2,W20&lt;=3),"MODERATE",AND(W20&gt;1,W20&lt;=2),"LOW",W20&lt;=1,"VERY LOW")</f>
        <v>HIGH</v>
      </c>
      <c r="Y20" s="88" t="s">
        <v>90</v>
      </c>
      <c r="Z20" s="87">
        <v>4</v>
      </c>
      <c r="AA20" s="88" t="s">
        <v>91</v>
      </c>
      <c r="AB20" s="87">
        <v>2</v>
      </c>
      <c r="AC20" s="88" t="s">
        <v>92</v>
      </c>
      <c r="AD20" s="87">
        <v>4</v>
      </c>
      <c r="AE20" s="88" t="s">
        <v>93</v>
      </c>
      <c r="AF20" s="87">
        <v>4</v>
      </c>
      <c r="AG20" s="88" t="s">
        <v>89</v>
      </c>
      <c r="AH20" s="87">
        <v>4</v>
      </c>
      <c r="AI20" s="88" t="s">
        <v>88</v>
      </c>
      <c r="AJ20" s="87">
        <v>4</v>
      </c>
      <c r="AK20" s="89">
        <f>AVERAGE(Z20,AB20,AD20,AF20,AH20,AJ20)</f>
        <v>3.6666666666666665</v>
      </c>
      <c r="AL20" s="179"/>
      <c r="AM20" s="89">
        <f>W20/AK20</f>
        <v>1.0909090909090911</v>
      </c>
      <c r="AN20" s="87" t="str">
        <f>_xlfn.IFS(AM20&lt;=1,"LOW",AND(AM20&gt;1,AM20&lt;=2),"MEDIUM LOW",AND(AM20&gt;2,AM20&lt;=3),"MEDIUM",AND(AM20&gt;3,AM20&lt;=4),"MEDIUM HIGH",AND(AM20&gt;4,AM20&lt;=5),"HIGH")</f>
        <v>MEDIUM LOW</v>
      </c>
      <c r="AO20" s="87">
        <v>1</v>
      </c>
      <c r="AP20" s="87">
        <f>AO20*C20</f>
        <v>6</v>
      </c>
      <c r="AQ20" s="87" t="str">
        <f>_xlfn.IFS(AP20&lt;=5,"LOW RISK",AND(AP20&gt;5,AP20&lt;=12),"MODERATE RISK",AP20&gt;12,"HIGH RISK")</f>
        <v>MODERATE RISK</v>
      </c>
    </row>
    <row r="21" spans="1:43" s="177" customFormat="1" ht="56.25">
      <c r="A21" s="178"/>
      <c r="B21" s="87" t="s">
        <v>230</v>
      </c>
      <c r="C21" s="87">
        <v>6</v>
      </c>
      <c r="D21" s="179"/>
      <c r="E21" s="170" t="s">
        <v>315</v>
      </c>
      <c r="F21" s="180" t="s">
        <v>239</v>
      </c>
      <c r="G21" s="181" t="s">
        <v>303</v>
      </c>
      <c r="H21" s="182">
        <f>_xlfn.IFS(G21="Barangay road
City road",CEILING(2600000*1,1000),G21="Barangay road
City road
National road",CEILING(2600000*2,1000),G21="Barangay road
National road",CEILING(2600000*2,1000),G21="Barangay road",CEILING(2600000*1,1000),G21="City road",CEILING(2600000*1,1000),G21="Barangay road
City road",CEILING(2600000*1,1000),G21="National road",CEILING(2600000*2,1000),G21="Barangay road
NIA
Provincial road",CEILING(2600000*1,1000),G21="Barangay road
NIA
National road",CEILING(2600000*2,1000),G21="Barangay road
Private road
Provincial road",CEILING(2600000*1,1000),G21="Barangay road
Private road
Provincial road
National road",CEILING(2600000*2,1000),G21="Barangay road
NIA
National road
Provincial road",CEILING(2600000*2,1000),G21="Barangay road
Provincial road",CEILING(2600000*1,1000),G21="Barangay road
City road
National road
Provincial road",CEILING(2600000*2,1000),G21="Barangay road
National road
Provincial road",CEILING(2600000*2,1000))</f>
        <v>2600000</v>
      </c>
      <c r="I21" s="204">
        <v>16.182700000000001</v>
      </c>
      <c r="J21" s="183">
        <v>14.3978</v>
      </c>
      <c r="K21" s="182">
        <f>H21*J21</f>
        <v>37434280</v>
      </c>
      <c r="L21" s="175">
        <f t="shared" si="0"/>
        <v>0.88970320156710558</v>
      </c>
      <c r="M21" s="170">
        <f>_xlfn.IFS(L21&lt;=5%,1,AND(L21&gt;5%,L21&lt;=15%),2,AND(L21&gt;15%,L21&lt;=30%),3,AND(L21&gt;30%,L21&lt;=50%),4,L21&gt;50%,5)</f>
        <v>5</v>
      </c>
      <c r="N21" s="184"/>
      <c r="O21" s="90">
        <f>J21*P21</f>
        <v>0.2519615</v>
      </c>
      <c r="P21" s="176">
        <v>1.7500000000000002E-2</v>
      </c>
      <c r="Q21" s="87">
        <f>_xlfn.IFS(P21&lt;=5%,1,AND(P21&gt;5%,P21&lt;=15%),2,AND(P21&gt;15%,P21&lt;=30%),3,AND(P21&gt;30%,P21&lt;=50%),4,P21&gt;50%,5)</f>
        <v>1</v>
      </c>
      <c r="R21" s="90">
        <f>J21-O21</f>
        <v>14.1458385</v>
      </c>
      <c r="S21" s="176">
        <f>R21/J21</f>
        <v>0.98250000000000004</v>
      </c>
      <c r="T21" s="87">
        <f>_xlfn.IFS(S21&lt;=5%,1,AND(S21&gt;5%,S21&lt;=15%),2,AND(S21&gt;15%,S21&lt;=30%),3,AND(S21&gt;30%,S21&lt;=50%),4,S21&gt;50%,5)</f>
        <v>5</v>
      </c>
      <c r="U21" s="89">
        <f>AVERAGE(Q21,T21)</f>
        <v>3</v>
      </c>
      <c r="V21" s="179"/>
      <c r="W21" s="89">
        <f>AVERAGE(M21,U21)</f>
        <v>4</v>
      </c>
      <c r="X21" s="87" t="str">
        <f>_xlfn.IFS(AND(W21&gt;4,W21&lt;=5),"VERY HIGH",AND(W21&gt;3,W21&lt;=4),"HIGH",AND(W21&gt;2,W21&lt;=3),"MODERATE",AND(W21&gt;1,W21&lt;=2),"LOW",W21&lt;=1,"VERY LOW")</f>
        <v>HIGH</v>
      </c>
      <c r="Y21" s="88" t="s">
        <v>90</v>
      </c>
      <c r="Z21" s="87">
        <v>4</v>
      </c>
      <c r="AA21" s="88" t="s">
        <v>91</v>
      </c>
      <c r="AB21" s="87">
        <v>2</v>
      </c>
      <c r="AC21" s="88" t="s">
        <v>92</v>
      </c>
      <c r="AD21" s="87">
        <v>4</v>
      </c>
      <c r="AE21" s="88" t="s">
        <v>93</v>
      </c>
      <c r="AF21" s="87">
        <v>4</v>
      </c>
      <c r="AG21" s="88" t="s">
        <v>89</v>
      </c>
      <c r="AH21" s="87">
        <v>4</v>
      </c>
      <c r="AI21" s="88" t="s">
        <v>88</v>
      </c>
      <c r="AJ21" s="87">
        <v>4</v>
      </c>
      <c r="AK21" s="89">
        <f>AVERAGE(Z21,AB21,AD21,AF21,AH21,AJ21)</f>
        <v>3.6666666666666665</v>
      </c>
      <c r="AL21" s="179"/>
      <c r="AM21" s="89">
        <f>W21/AK21</f>
        <v>1.0909090909090911</v>
      </c>
      <c r="AN21" s="87" t="str">
        <f>_xlfn.IFS(AM21&lt;=1,"LOW",AND(AM21&gt;1,AM21&lt;=2),"MEDIUM LOW",AND(AM21&gt;2,AM21&lt;=3),"MEDIUM",AND(AM21&gt;3,AM21&lt;=4),"MEDIUM HIGH",AND(AM21&gt;4,AM21&lt;=5),"HIGH")</f>
        <v>MEDIUM LOW</v>
      </c>
      <c r="AO21" s="87">
        <v>1</v>
      </c>
      <c r="AP21" s="87">
        <f>AO21*C21</f>
        <v>6</v>
      </c>
      <c r="AQ21" s="87" t="str">
        <f>_xlfn.IFS(AP21&lt;=5,"LOW RISK",AND(AP21&gt;5,AP21&lt;=12),"MODERATE RISK",AP21&gt;12,"HIGH RISK")</f>
        <v>MODERATE RISK</v>
      </c>
    </row>
    <row r="22" spans="1:43" s="177" customFormat="1" ht="56.25">
      <c r="A22" s="178"/>
      <c r="B22" s="87" t="s">
        <v>230</v>
      </c>
      <c r="C22" s="87">
        <v>6</v>
      </c>
      <c r="D22" s="179"/>
      <c r="E22" s="170" t="s">
        <v>318</v>
      </c>
      <c r="F22" s="180" t="s">
        <v>240</v>
      </c>
      <c r="G22" s="181" t="s">
        <v>301</v>
      </c>
      <c r="H22" s="182">
        <f>_xlfn.IFS(G22="Barangay road
City road",CEILING(2600000*1,1000),G22="Barangay road
City road
National road",CEILING(2600000*2,1000),G22="Barangay road
National road",CEILING(2600000*2,1000),G22="Barangay road",CEILING(2600000*1,1000),G22="City road",CEILING(2600000*1,1000),G22="Barangay road
City road",CEILING(2600000*1,1000),G22="National road",CEILING(2600000*2,1000),G22="Barangay road
NIA
Provincial road",CEILING(2600000*1,1000),G22="Barangay road
NIA
National road",CEILING(2600000*2,1000),G22="Barangay road
Private road
Provincial road",CEILING(2600000*1,1000),G22="Barangay road
Private road
Provincial road
National road",CEILING(2600000*2,1000),G22="Barangay road
NIA
National road
Provincial road",CEILING(2600000*2,1000),G22="Barangay road
Provincial road",CEILING(2600000*1,1000),G22="Barangay road
City road
National road
Provincial road",CEILING(2600000*2,1000),G22="Barangay road
National road
Provincial road",CEILING(2600000*2,1000))</f>
        <v>5200000</v>
      </c>
      <c r="I22" s="204">
        <v>16.212708999999997</v>
      </c>
      <c r="J22" s="183">
        <v>16.212693000000002</v>
      </c>
      <c r="K22" s="182">
        <f>H22*J22</f>
        <v>84306003.600000009</v>
      </c>
      <c r="L22" s="175">
        <f t="shared" si="0"/>
        <v>0.99999901311989281</v>
      </c>
      <c r="M22" s="170">
        <f>_xlfn.IFS(L22&lt;=5%,1,AND(L22&gt;5%,L22&lt;=15%),2,AND(L22&gt;15%,L22&lt;=30%),3,AND(L22&gt;30%,L22&lt;=50%),4,L22&gt;50%,5)</f>
        <v>5</v>
      </c>
      <c r="N22" s="184"/>
      <c r="O22" s="90">
        <f>J22*P22</f>
        <v>9.0807293493000021</v>
      </c>
      <c r="P22" s="176">
        <v>0.56010000000000004</v>
      </c>
      <c r="Q22" s="87">
        <f>_xlfn.IFS(P22&lt;=5%,1,AND(P22&gt;5%,P22&lt;=15%),2,AND(P22&gt;15%,P22&lt;=30%),3,AND(P22&gt;30%,P22&lt;=50%),4,P22&gt;50%,5)</f>
        <v>5</v>
      </c>
      <c r="R22" s="90">
        <f>J22-O22</f>
        <v>7.1319636506999995</v>
      </c>
      <c r="S22" s="176">
        <f>R22/J22</f>
        <v>0.4398999999999999</v>
      </c>
      <c r="T22" s="87">
        <f>_xlfn.IFS(S22&lt;=5%,1,AND(S22&gt;5%,S22&lt;=15%),2,AND(S22&gt;15%,S22&lt;=30%),3,AND(S22&gt;30%,S22&lt;=50%),4,S22&gt;50%,5)</f>
        <v>4</v>
      </c>
      <c r="U22" s="89">
        <f>AVERAGE(Q22,T22)</f>
        <v>4.5</v>
      </c>
      <c r="V22" s="179"/>
      <c r="W22" s="89">
        <f>AVERAGE(M22,U22)</f>
        <v>4.75</v>
      </c>
      <c r="X22" s="87" t="str">
        <f>_xlfn.IFS(AND(W22&gt;4,W22&lt;=5),"VERY HIGH",AND(W22&gt;3,W22&lt;=4),"HIGH",AND(W22&gt;2,W22&lt;=3),"MODERATE",AND(W22&gt;1,W22&lt;=2),"LOW",W22&lt;=1,"VERY LOW")</f>
        <v>VERY HIGH</v>
      </c>
      <c r="Y22" s="88" t="s">
        <v>90</v>
      </c>
      <c r="Z22" s="87">
        <v>4</v>
      </c>
      <c r="AA22" s="88" t="s">
        <v>91</v>
      </c>
      <c r="AB22" s="87">
        <v>2</v>
      </c>
      <c r="AC22" s="88" t="s">
        <v>92</v>
      </c>
      <c r="AD22" s="87">
        <v>4</v>
      </c>
      <c r="AE22" s="88" t="s">
        <v>93</v>
      </c>
      <c r="AF22" s="87">
        <v>4</v>
      </c>
      <c r="AG22" s="88" t="s">
        <v>89</v>
      </c>
      <c r="AH22" s="87">
        <v>4</v>
      </c>
      <c r="AI22" s="88" t="s">
        <v>88</v>
      </c>
      <c r="AJ22" s="87">
        <v>4</v>
      </c>
      <c r="AK22" s="89">
        <f>AVERAGE(Z22,AB22,AD22,AF22,AH22,AJ22)</f>
        <v>3.6666666666666665</v>
      </c>
      <c r="AL22" s="179"/>
      <c r="AM22" s="89">
        <f>W22/AK22</f>
        <v>1.2954545454545454</v>
      </c>
      <c r="AN22" s="87" t="str">
        <f>_xlfn.IFS(AM22&lt;=1,"LOW",AND(AM22&gt;1,AM22&lt;=2),"MEDIUM LOW",AND(AM22&gt;2,AM22&lt;=3),"MEDIUM",AND(AM22&gt;3,AM22&lt;=4),"MEDIUM HIGH",AND(AM22&gt;4,AM22&lt;=5),"HIGH")</f>
        <v>MEDIUM LOW</v>
      </c>
      <c r="AO22" s="87">
        <v>3</v>
      </c>
      <c r="AP22" s="87">
        <f>AO22*C22</f>
        <v>18</v>
      </c>
      <c r="AQ22" s="87" t="str">
        <f>_xlfn.IFS(AP22&lt;=5,"LOW RISK",AND(AP22&gt;5,AP22&lt;=12),"MODERATE RISK",AP22&gt;12,"HIGH RISK")</f>
        <v>HIGH RISK</v>
      </c>
    </row>
    <row r="23" spans="1:43" s="177" customFormat="1" ht="56.25">
      <c r="A23" s="178"/>
      <c r="B23" s="87" t="s">
        <v>230</v>
      </c>
      <c r="C23" s="87">
        <v>6</v>
      </c>
      <c r="D23" s="179"/>
      <c r="E23" s="170" t="s">
        <v>316</v>
      </c>
      <c r="F23" s="180" t="s">
        <v>241</v>
      </c>
      <c r="G23" s="181" t="s">
        <v>303</v>
      </c>
      <c r="H23" s="182">
        <f>_xlfn.IFS(G23="Barangay road
City road",CEILING(2600000*1,1000),G23="Barangay road
City road
National road",CEILING(2600000*2,1000),G23="Barangay road
National road",CEILING(2600000*2,1000),G23="Barangay road",CEILING(2600000*1,1000),G23="City road",CEILING(2600000*1,1000),G23="Barangay road
City road",CEILING(2600000*1,1000),G23="National road",CEILING(2600000*2,1000),G23="Barangay road
NIA
Provincial road",CEILING(2600000*1,1000),G23="Barangay road
NIA
National road",CEILING(2600000*2,1000),G23="Barangay road
Private road
Provincial road",CEILING(2600000*1,1000),G23="Barangay road
Private road
Provincial road
National road",CEILING(2600000*2,1000),G23="Barangay road
NIA
National road
Provincial road",CEILING(2600000*2,1000),G23="Barangay road
Provincial road",CEILING(2600000*1,1000),G23="Barangay road
City road
National road
Provincial road",CEILING(2600000*2,1000),G23="Barangay road
National road
Provincial road",CEILING(2600000*2,1000))</f>
        <v>2600000</v>
      </c>
      <c r="I23" s="204">
        <v>12.7377</v>
      </c>
      <c r="J23" s="183">
        <v>5.6304490000000005</v>
      </c>
      <c r="K23" s="182">
        <f>H23*J23</f>
        <v>14639167.4</v>
      </c>
      <c r="L23" s="175">
        <f t="shared" si="0"/>
        <v>0.44203027234116055</v>
      </c>
      <c r="M23" s="170">
        <f>_xlfn.IFS(L23&lt;=5%,1,AND(L23&gt;5%,L23&lt;=15%),2,AND(L23&gt;15%,L23&lt;=30%),3,AND(L23&gt;30%,L23&lt;=50%),4,L23&gt;50%,5)</f>
        <v>4</v>
      </c>
      <c r="N23" s="184"/>
      <c r="O23" s="191">
        <f>J23*P23</f>
        <v>1.5821561690000003</v>
      </c>
      <c r="P23" s="192">
        <v>0.28100000000000003</v>
      </c>
      <c r="Q23" s="170">
        <f>_xlfn.IFS(P23&lt;=5%,1,AND(P23&gt;5%,P23&lt;=15%),2,AND(P23&gt;15%,P23&lt;=30%),3,AND(P23&gt;30%,P23&lt;=50%),4,P23&gt;50%,5)</f>
        <v>3</v>
      </c>
      <c r="R23" s="191">
        <f>J23-O23</f>
        <v>4.0482928310000004</v>
      </c>
      <c r="S23" s="192">
        <f>R23/J23</f>
        <v>0.71899999999999997</v>
      </c>
      <c r="T23" s="170">
        <f>_xlfn.IFS(S23&lt;=5%,1,AND(S23&gt;5%,S23&lt;=15%),2,AND(S23&gt;15%,S23&lt;=30%),3,AND(S23&gt;30%,S23&lt;=50%),4,S23&gt;50%,5)</f>
        <v>5</v>
      </c>
      <c r="U23" s="193">
        <f>AVERAGE(Q23,T23)</f>
        <v>4</v>
      </c>
      <c r="V23" s="184"/>
      <c r="W23" s="193">
        <f>AVERAGE(M23,U23)</f>
        <v>4</v>
      </c>
      <c r="X23" s="170" t="str">
        <f>_xlfn.IFS(AND(W23&gt;4,W23&lt;=5),"VERY HIGH",AND(W23&gt;3,W23&lt;=4),"HIGH",AND(W23&gt;2,W23&lt;=3),"MODERATE",AND(W23&gt;1,W23&lt;=2),"LOW",W23&lt;=1,"VERY LOW")</f>
        <v>HIGH</v>
      </c>
      <c r="Y23" s="194" t="s">
        <v>90</v>
      </c>
      <c r="Z23" s="170">
        <v>4</v>
      </c>
      <c r="AA23" s="194" t="s">
        <v>91</v>
      </c>
      <c r="AB23" s="170">
        <v>2</v>
      </c>
      <c r="AC23" s="194" t="s">
        <v>92</v>
      </c>
      <c r="AD23" s="170">
        <v>4</v>
      </c>
      <c r="AE23" s="194" t="s">
        <v>93</v>
      </c>
      <c r="AF23" s="170">
        <v>4</v>
      </c>
      <c r="AG23" s="194" t="s">
        <v>89</v>
      </c>
      <c r="AH23" s="170">
        <v>4</v>
      </c>
      <c r="AI23" s="194" t="s">
        <v>88</v>
      </c>
      <c r="AJ23" s="170">
        <v>4</v>
      </c>
      <c r="AK23" s="193">
        <f>AVERAGE(Z23,AB23,AD23,AF23,AH23,AJ23)</f>
        <v>3.6666666666666665</v>
      </c>
      <c r="AL23" s="184"/>
      <c r="AM23" s="193">
        <f>W23/AK23</f>
        <v>1.0909090909090911</v>
      </c>
      <c r="AN23" s="170" t="str">
        <f>_xlfn.IFS(AM23&lt;=1,"LOW",AND(AM23&gt;1,AM23&lt;=2),"MEDIUM LOW",AND(AM23&gt;2,AM23&lt;=3),"MEDIUM",AND(AM23&gt;3,AM23&lt;=4),"MEDIUM HIGH",AND(AM23&gt;4,AM23&lt;=5),"HIGH")</f>
        <v>MEDIUM LOW</v>
      </c>
      <c r="AO23" s="170">
        <v>1</v>
      </c>
      <c r="AP23" s="170">
        <f>AO23*C23</f>
        <v>6</v>
      </c>
      <c r="AQ23" s="170" t="str">
        <f>_xlfn.IFS(AP23&lt;=5,"LOW RISK",AND(AP23&gt;5,AP23&lt;=12),"MODERATE RISK",AP23&gt;12,"HIGH RISK")</f>
        <v>MODERATE RISK</v>
      </c>
    </row>
    <row r="24" spans="1:43" s="177" customFormat="1" ht="56.25">
      <c r="A24" s="178"/>
      <c r="B24" s="87" t="s">
        <v>230</v>
      </c>
      <c r="C24" s="87">
        <v>6</v>
      </c>
      <c r="D24" s="179"/>
      <c r="E24" s="170" t="s">
        <v>316</v>
      </c>
      <c r="F24" s="180" t="s">
        <v>242</v>
      </c>
      <c r="G24" s="181" t="s">
        <v>303</v>
      </c>
      <c r="H24" s="182">
        <f>_xlfn.IFS(G24="Barangay road
City road",CEILING(2600000*1,1000),G24="Barangay road
City road
National road",CEILING(2600000*2,1000),G24="Barangay road
National road",CEILING(2600000*2,1000),G24="Barangay road",CEILING(2600000*1,1000),G24="City road",CEILING(2600000*1,1000),G24="Barangay road
City road",CEILING(2600000*1,1000),G24="National road",CEILING(2600000*2,1000),G24="Barangay road
NIA
Provincial road",CEILING(2600000*1,1000),G24="Barangay road
NIA
National road",CEILING(2600000*2,1000),G24="Barangay road
Private road
Provincial road",CEILING(2600000*1,1000),G24="Barangay road
Private road
Provincial road
National road",CEILING(2600000*2,1000),G24="Barangay road
NIA
National road
Provincial road",CEILING(2600000*2,1000),G24="Barangay road
Provincial road",CEILING(2600000*1,1000),G24="Barangay road
City road
National road
Provincial road",CEILING(2600000*2,1000),G24="Barangay road
National road
Provincial road",CEILING(2600000*2,1000))</f>
        <v>2600000</v>
      </c>
      <c r="I24" s="204">
        <v>10.722899999999999</v>
      </c>
      <c r="J24" s="183">
        <v>3.6167289999999999</v>
      </c>
      <c r="K24" s="182">
        <f>H24*J24</f>
        <v>9403495.4000000004</v>
      </c>
      <c r="L24" s="175">
        <f t="shared" si="0"/>
        <v>0.33729019201895011</v>
      </c>
      <c r="M24" s="170">
        <f>_xlfn.IFS(L24&lt;=5%,1,AND(L24&gt;5%,L24&lt;=15%),2,AND(L24&gt;15%,L24&lt;=30%),3,AND(L24&gt;30%,L24&lt;=50%),4,L24&gt;50%,5)</f>
        <v>4</v>
      </c>
      <c r="N24" s="184"/>
      <c r="O24" s="191">
        <f>J24*P24</f>
        <v>4.2677402199999999E-2</v>
      </c>
      <c r="P24" s="192">
        <v>1.18E-2</v>
      </c>
      <c r="Q24" s="170">
        <f>_xlfn.IFS(P24&lt;=5%,1,AND(P24&gt;5%,P24&lt;=15%),2,AND(P24&gt;15%,P24&lt;=30%),3,AND(P24&gt;30%,P24&lt;=50%),4,P24&gt;50%,5)</f>
        <v>1</v>
      </c>
      <c r="R24" s="191">
        <f>J24-O24</f>
        <v>3.5740515978</v>
      </c>
      <c r="S24" s="192">
        <f>R24/J24</f>
        <v>0.98820000000000008</v>
      </c>
      <c r="T24" s="170">
        <f>_xlfn.IFS(S24&lt;=5%,1,AND(S24&gt;5%,S24&lt;=15%),2,AND(S24&gt;15%,S24&lt;=30%),3,AND(S24&gt;30%,S24&lt;=50%),4,S24&gt;50%,5)</f>
        <v>5</v>
      </c>
      <c r="U24" s="193">
        <f>AVERAGE(Q24,T24)</f>
        <v>3</v>
      </c>
      <c r="V24" s="184"/>
      <c r="W24" s="193">
        <f>AVERAGE(M24,U24)</f>
        <v>3.5</v>
      </c>
      <c r="X24" s="170" t="str">
        <f>_xlfn.IFS(AND(W24&gt;4,W24&lt;=5),"VERY HIGH",AND(W24&gt;3,W24&lt;=4),"HIGH",AND(W24&gt;2,W24&lt;=3),"MODERATE",AND(W24&gt;1,W24&lt;=2),"LOW",W24&lt;=1,"VERY LOW")</f>
        <v>HIGH</v>
      </c>
      <c r="Y24" s="194" t="s">
        <v>90</v>
      </c>
      <c r="Z24" s="170">
        <v>4</v>
      </c>
      <c r="AA24" s="194" t="s">
        <v>91</v>
      </c>
      <c r="AB24" s="170">
        <v>2</v>
      </c>
      <c r="AC24" s="194" t="s">
        <v>92</v>
      </c>
      <c r="AD24" s="170">
        <v>4</v>
      </c>
      <c r="AE24" s="194" t="s">
        <v>93</v>
      </c>
      <c r="AF24" s="170">
        <v>4</v>
      </c>
      <c r="AG24" s="194" t="s">
        <v>89</v>
      </c>
      <c r="AH24" s="170">
        <v>4</v>
      </c>
      <c r="AI24" s="194" t="s">
        <v>88</v>
      </c>
      <c r="AJ24" s="170">
        <v>4</v>
      </c>
      <c r="AK24" s="193">
        <f>AVERAGE(Z24,AB24,AD24,AF24,AH24,AJ24)</f>
        <v>3.6666666666666665</v>
      </c>
      <c r="AL24" s="184"/>
      <c r="AM24" s="193">
        <f>W24/AK24</f>
        <v>0.95454545454545459</v>
      </c>
      <c r="AN24" s="170" t="str">
        <f>_xlfn.IFS(AM24&lt;=1,"LOW",AND(AM24&gt;1,AM24&lt;=2),"MEDIUM LOW",AND(AM24&gt;2,AM24&lt;=3),"MEDIUM",AND(AM24&gt;3,AM24&lt;=4),"MEDIUM HIGH",AND(AM24&gt;4,AM24&lt;=5),"HIGH")</f>
        <v>LOW</v>
      </c>
      <c r="AO24" s="170">
        <v>1</v>
      </c>
      <c r="AP24" s="170">
        <f>AO24*C24</f>
        <v>6</v>
      </c>
      <c r="AQ24" s="170" t="str">
        <f>_xlfn.IFS(AP24&lt;=5,"LOW RISK",AND(AP24&gt;5,AP24&lt;=12),"MODERATE RISK",AP24&gt;12,"HIGH RISK")</f>
        <v>MODERATE RISK</v>
      </c>
    </row>
    <row r="25" spans="1:43" s="177" customFormat="1" ht="56.25">
      <c r="A25" s="178"/>
      <c r="B25" s="87" t="s">
        <v>230</v>
      </c>
      <c r="C25" s="87">
        <v>6</v>
      </c>
      <c r="D25" s="179"/>
      <c r="E25" s="170" t="s">
        <v>316</v>
      </c>
      <c r="F25" s="180" t="s">
        <v>243</v>
      </c>
      <c r="G25" s="181" t="s">
        <v>302</v>
      </c>
      <c r="H25" s="182">
        <f>_xlfn.IFS(G25="Barangay road
City road",CEILING(2600000*1,1000),G25="Barangay road
City road
National road",CEILING(2600000*2,1000),G25="Barangay road
National road",CEILING(2600000*2,1000),G25="Barangay road",CEILING(2600000*1,1000),G25="City road",CEILING(2600000*1,1000),G25="Barangay road
City road",CEILING(2600000*1,1000),G25="National road",CEILING(2600000*2,1000),G25="Barangay road
NIA
Provincial road",CEILING(2600000*1,1000),G25="Barangay road
NIA
National road",CEILING(2600000*2,1000),G25="Barangay road
Private road
Provincial road",CEILING(2600000*1,1000),G25="Barangay road
Private road
Provincial road
National road",CEILING(2600000*2,1000),G25="Barangay road
NIA
National road
Provincial road",CEILING(2600000*2,1000),G25="Barangay road
Provincial road",CEILING(2600000*1,1000),G25="Barangay road
City road
National road
Provincial road",CEILING(2600000*2,1000),G25="Barangay road
National road
Provincial road",CEILING(2600000*2,1000))</f>
        <v>5200000</v>
      </c>
      <c r="I25" s="204">
        <v>21.019310400000002</v>
      </c>
      <c r="J25" s="183">
        <v>6.8891106999999998</v>
      </c>
      <c r="K25" s="182">
        <f>H25*J25</f>
        <v>35823375.640000001</v>
      </c>
      <c r="L25" s="175">
        <f t="shared" si="0"/>
        <v>0.3277515089172478</v>
      </c>
      <c r="M25" s="170">
        <f>_xlfn.IFS(L25&lt;=5%,1,AND(L25&gt;5%,L25&lt;=15%),2,AND(L25&gt;15%,L25&lt;=30%),3,AND(L25&gt;30%,L25&lt;=50%),4,L25&gt;50%,5)</f>
        <v>4</v>
      </c>
      <c r="N25" s="184"/>
      <c r="O25" s="191">
        <f>J25*P25</f>
        <v>8.3358239469999998E-2</v>
      </c>
      <c r="P25" s="192">
        <v>1.21E-2</v>
      </c>
      <c r="Q25" s="170">
        <f>_xlfn.IFS(P25&lt;=5%,1,AND(P25&gt;5%,P25&lt;=15%),2,AND(P25&gt;15%,P25&lt;=30%),3,AND(P25&gt;30%,P25&lt;=50%),4,P25&gt;50%,5)</f>
        <v>1</v>
      </c>
      <c r="R25" s="191">
        <f>J25-O25</f>
        <v>6.8057524605299999</v>
      </c>
      <c r="S25" s="192">
        <f>R25/J25</f>
        <v>0.9879</v>
      </c>
      <c r="T25" s="170">
        <f>_xlfn.IFS(S25&lt;=5%,1,AND(S25&gt;5%,S25&lt;=15%),2,AND(S25&gt;15%,S25&lt;=30%),3,AND(S25&gt;30%,S25&lt;=50%),4,S25&gt;50%,5)</f>
        <v>5</v>
      </c>
      <c r="U25" s="193">
        <f>AVERAGE(Q25,T25)</f>
        <v>3</v>
      </c>
      <c r="V25" s="184"/>
      <c r="W25" s="193">
        <f>AVERAGE(M25,U25)</f>
        <v>3.5</v>
      </c>
      <c r="X25" s="170" t="str">
        <f>_xlfn.IFS(AND(W25&gt;4,W25&lt;=5),"VERY HIGH",AND(W25&gt;3,W25&lt;=4),"HIGH",AND(W25&gt;2,W25&lt;=3),"MODERATE",AND(W25&gt;1,W25&lt;=2),"LOW",W25&lt;=1,"VERY LOW")</f>
        <v>HIGH</v>
      </c>
      <c r="Y25" s="194" t="s">
        <v>90</v>
      </c>
      <c r="Z25" s="170">
        <v>4</v>
      </c>
      <c r="AA25" s="194" t="s">
        <v>91</v>
      </c>
      <c r="AB25" s="170">
        <v>2</v>
      </c>
      <c r="AC25" s="194" t="s">
        <v>92</v>
      </c>
      <c r="AD25" s="170">
        <v>4</v>
      </c>
      <c r="AE25" s="194" t="s">
        <v>93</v>
      </c>
      <c r="AF25" s="170">
        <v>4</v>
      </c>
      <c r="AG25" s="194" t="s">
        <v>89</v>
      </c>
      <c r="AH25" s="170">
        <v>4</v>
      </c>
      <c r="AI25" s="194" t="s">
        <v>88</v>
      </c>
      <c r="AJ25" s="170">
        <v>4</v>
      </c>
      <c r="AK25" s="193">
        <f>AVERAGE(Z25,AB25,AD25,AF25,AH25,AJ25)</f>
        <v>3.6666666666666665</v>
      </c>
      <c r="AL25" s="184"/>
      <c r="AM25" s="193">
        <f>W25/AK25</f>
        <v>0.95454545454545459</v>
      </c>
      <c r="AN25" s="170" t="str">
        <f>_xlfn.IFS(AM25&lt;=1,"LOW",AND(AM25&gt;1,AM25&lt;=2),"MEDIUM LOW",AND(AM25&gt;2,AM25&lt;=3),"MEDIUM",AND(AM25&gt;3,AM25&lt;=4),"MEDIUM HIGH",AND(AM25&gt;4,AM25&lt;=5),"HIGH")</f>
        <v>LOW</v>
      </c>
      <c r="AO25" s="170">
        <v>1</v>
      </c>
      <c r="AP25" s="170">
        <f>AO25*C25</f>
        <v>6</v>
      </c>
      <c r="AQ25" s="170" t="str">
        <f>_xlfn.IFS(AP25&lt;=5,"LOW RISK",AND(AP25&gt;5,AP25&lt;=12),"MODERATE RISK",AP25&gt;12,"HIGH RISK")</f>
        <v>MODERATE RISK</v>
      </c>
    </row>
    <row r="26" spans="1:43" s="177" customFormat="1" ht="56.25">
      <c r="A26" s="178"/>
      <c r="B26" s="87" t="s">
        <v>230</v>
      </c>
      <c r="C26" s="87">
        <v>6</v>
      </c>
      <c r="D26" s="179"/>
      <c r="E26" s="170" t="s">
        <v>315</v>
      </c>
      <c r="F26" s="180" t="s">
        <v>40</v>
      </c>
      <c r="G26" s="181" t="s">
        <v>303</v>
      </c>
      <c r="H26" s="182">
        <f>_xlfn.IFS(G26="Barangay road
City road",CEILING(2600000*1,1000),G26="Barangay road
City road
National road",CEILING(2600000*2,1000),G26="Barangay road
National road",CEILING(2600000*2,1000),G26="Barangay road",CEILING(2600000*1,1000),G26="City road",CEILING(2600000*1,1000),G26="Barangay road
City road",CEILING(2600000*1,1000),G26="National road",CEILING(2600000*2,1000),G26="Barangay road
NIA
Provincial road",CEILING(2600000*1,1000),G26="Barangay road
NIA
National road",CEILING(2600000*2,1000),G26="Barangay road
Private road
Provincial road",CEILING(2600000*1,1000),G26="Barangay road
Private road
Provincial road
National road",CEILING(2600000*2,1000),G26="Barangay road
NIA
National road
Provincial road",CEILING(2600000*2,1000),G26="Barangay road
Provincial road",CEILING(2600000*1,1000),G26="Barangay road
City road
National road
Provincial road",CEILING(2600000*2,1000),G26="Barangay road
National road
Provincial road",CEILING(2600000*2,1000))</f>
        <v>2600000</v>
      </c>
      <c r="I26" s="204">
        <v>6.4452999999999996</v>
      </c>
      <c r="J26" s="183">
        <v>6.4453052599999996</v>
      </c>
      <c r="K26" s="182">
        <f>H26*J26</f>
        <v>16757793.675999999</v>
      </c>
      <c r="L26" s="175">
        <f t="shared" si="0"/>
        <v>1.0000008160985525</v>
      </c>
      <c r="M26" s="170">
        <f>_xlfn.IFS(L26&lt;=5%,1,AND(L26&gt;5%,L26&lt;=15%),2,AND(L26&gt;15%,L26&lt;=30%),3,AND(L26&gt;30%,L26&lt;=50%),4,L26&gt;50%,5)</f>
        <v>5</v>
      </c>
      <c r="N26" s="184"/>
      <c r="O26" s="90">
        <f>J26*P26</f>
        <v>3.4875546761859999</v>
      </c>
      <c r="P26" s="176">
        <v>0.54110000000000003</v>
      </c>
      <c r="Q26" s="87">
        <f>_xlfn.IFS(P26&lt;=5%,1,AND(P26&gt;5%,P26&lt;=15%),2,AND(P26&gt;15%,P26&lt;=30%),3,AND(P26&gt;30%,P26&lt;=50%),4,P26&gt;50%,5)</f>
        <v>5</v>
      </c>
      <c r="R26" s="90">
        <f>J26-O26</f>
        <v>2.9577505838139997</v>
      </c>
      <c r="S26" s="176">
        <f>R26/J26</f>
        <v>0.45889999999999997</v>
      </c>
      <c r="T26" s="87">
        <f>_xlfn.IFS(S26&lt;=5%,1,AND(S26&gt;5%,S26&lt;=15%),2,AND(S26&gt;15%,S26&lt;=30%),3,AND(S26&gt;30%,S26&lt;=50%),4,S26&gt;50%,5)</f>
        <v>4</v>
      </c>
      <c r="U26" s="89">
        <f>AVERAGE(Q26,T26)</f>
        <v>4.5</v>
      </c>
      <c r="V26" s="179"/>
      <c r="W26" s="89">
        <f>AVERAGE(M26,U26)</f>
        <v>4.75</v>
      </c>
      <c r="X26" s="87" t="str">
        <f>_xlfn.IFS(AND(W26&gt;4,W26&lt;=5),"VERY HIGH",AND(W26&gt;3,W26&lt;=4),"HIGH",AND(W26&gt;2,W26&lt;=3),"MODERATE",AND(W26&gt;1,W26&lt;=2),"LOW",W26&lt;=1,"VERY LOW")</f>
        <v>VERY HIGH</v>
      </c>
      <c r="Y26" s="88" t="s">
        <v>90</v>
      </c>
      <c r="Z26" s="87">
        <v>4</v>
      </c>
      <c r="AA26" s="88" t="s">
        <v>91</v>
      </c>
      <c r="AB26" s="87">
        <v>2</v>
      </c>
      <c r="AC26" s="88" t="s">
        <v>92</v>
      </c>
      <c r="AD26" s="87">
        <v>4</v>
      </c>
      <c r="AE26" s="88" t="s">
        <v>93</v>
      </c>
      <c r="AF26" s="87">
        <v>4</v>
      </c>
      <c r="AG26" s="88" t="s">
        <v>89</v>
      </c>
      <c r="AH26" s="87">
        <v>4</v>
      </c>
      <c r="AI26" s="88" t="s">
        <v>88</v>
      </c>
      <c r="AJ26" s="87">
        <v>4</v>
      </c>
      <c r="AK26" s="89">
        <f>AVERAGE(Z26,AB26,AD26,AF26,AH26,AJ26)</f>
        <v>3.6666666666666665</v>
      </c>
      <c r="AL26" s="179"/>
      <c r="AM26" s="89">
        <f>W26/AK26</f>
        <v>1.2954545454545454</v>
      </c>
      <c r="AN26" s="87" t="str">
        <f>_xlfn.IFS(AM26&lt;=1,"LOW",AND(AM26&gt;1,AM26&lt;=2),"MEDIUM LOW",AND(AM26&gt;2,AM26&lt;=3),"MEDIUM",AND(AM26&gt;3,AM26&lt;=4),"MEDIUM HIGH",AND(AM26&gt;4,AM26&lt;=5),"HIGH")</f>
        <v>MEDIUM LOW</v>
      </c>
      <c r="AO26" s="87">
        <v>1</v>
      </c>
      <c r="AP26" s="87">
        <f>AO26*C26</f>
        <v>6</v>
      </c>
      <c r="AQ26" s="87" t="str">
        <f>_xlfn.IFS(AP26&lt;=5,"LOW RISK",AND(AP26&gt;5,AP26&lt;=12),"MODERATE RISK",AP26&gt;12,"HIGH RISK")</f>
        <v>MODERATE RISK</v>
      </c>
    </row>
    <row r="27" spans="1:43" s="177" customFormat="1" ht="56.25">
      <c r="A27" s="178"/>
      <c r="B27" s="87" t="s">
        <v>230</v>
      </c>
      <c r="C27" s="87">
        <v>6</v>
      </c>
      <c r="D27" s="179"/>
      <c r="E27" s="170" t="s">
        <v>315</v>
      </c>
      <c r="F27" s="180" t="s">
        <v>244</v>
      </c>
      <c r="G27" s="181" t="s">
        <v>301</v>
      </c>
      <c r="H27" s="182">
        <f>_xlfn.IFS(G27="Barangay road
City road",CEILING(2600000*1,1000),G27="Barangay road
City road
National road",CEILING(2600000*2,1000),G27="Barangay road
National road",CEILING(2600000*2,1000),G27="Barangay road",CEILING(2600000*1,1000),G27="City road",CEILING(2600000*1,1000),G27="Barangay road
City road",CEILING(2600000*1,1000),G27="National road",CEILING(2600000*2,1000),G27="Barangay road
NIA
Provincial road",CEILING(2600000*1,1000),G27="Barangay road
NIA
National road",CEILING(2600000*2,1000),G27="Barangay road
Private road
Provincial road",CEILING(2600000*1,1000),G27="Barangay road
Private road
Provincial road
National road",CEILING(2600000*2,1000),G27="Barangay road
NIA
National road
Provincial road",CEILING(2600000*2,1000),G27="Barangay road
Provincial road",CEILING(2600000*1,1000),G27="Barangay road
City road
National road
Provincial road",CEILING(2600000*2,1000),G27="Barangay road
National road
Provincial road",CEILING(2600000*2,1000))</f>
        <v>5200000</v>
      </c>
      <c r="I27" s="204">
        <v>31.494199999999999</v>
      </c>
      <c r="J27" s="183">
        <v>19.113407999999996</v>
      </c>
      <c r="K27" s="182">
        <f>H27*J27</f>
        <v>99389721.599999979</v>
      </c>
      <c r="L27" s="175">
        <f t="shared" si="0"/>
        <v>0.6068866013424693</v>
      </c>
      <c r="M27" s="170">
        <f>_xlfn.IFS(L27&lt;=5%,1,AND(L27&gt;5%,L27&lt;=15%),2,AND(L27&gt;15%,L27&lt;=30%),3,AND(L27&gt;30%,L27&lt;=50%),4,L27&gt;50%,5)</f>
        <v>5</v>
      </c>
      <c r="N27" s="184"/>
      <c r="O27" s="90">
        <f>J27*P27</f>
        <v>2.7236606399999994</v>
      </c>
      <c r="P27" s="176">
        <v>0.14249999999999999</v>
      </c>
      <c r="Q27" s="87">
        <f>_xlfn.IFS(P27&lt;=5%,1,AND(P27&gt;5%,P27&lt;=15%),2,AND(P27&gt;15%,P27&lt;=30%),3,AND(P27&gt;30%,P27&lt;=50%),4,P27&gt;50%,5)</f>
        <v>2</v>
      </c>
      <c r="R27" s="90">
        <f>J27-O27</f>
        <v>16.389747359999998</v>
      </c>
      <c r="S27" s="176">
        <f>R27/J27</f>
        <v>0.85750000000000004</v>
      </c>
      <c r="T27" s="87">
        <f>_xlfn.IFS(S27&lt;=5%,1,AND(S27&gt;5%,S27&lt;=15%),2,AND(S27&gt;15%,S27&lt;=30%),3,AND(S27&gt;30%,S27&lt;=50%),4,S27&gt;50%,5)</f>
        <v>5</v>
      </c>
      <c r="U27" s="89">
        <f>AVERAGE(Q27,T27)</f>
        <v>3.5</v>
      </c>
      <c r="V27" s="179"/>
      <c r="W27" s="89">
        <f>AVERAGE(M27,U27)</f>
        <v>4.25</v>
      </c>
      <c r="X27" s="87" t="str">
        <f>_xlfn.IFS(AND(W27&gt;4,W27&lt;=5),"VERY HIGH",AND(W27&gt;3,W27&lt;=4),"HIGH",AND(W27&gt;2,W27&lt;=3),"MODERATE",AND(W27&gt;1,W27&lt;=2),"LOW",W27&lt;=1,"VERY LOW")</f>
        <v>VERY HIGH</v>
      </c>
      <c r="Y27" s="88" t="s">
        <v>90</v>
      </c>
      <c r="Z27" s="87">
        <v>4</v>
      </c>
      <c r="AA27" s="88" t="s">
        <v>91</v>
      </c>
      <c r="AB27" s="87">
        <v>2</v>
      </c>
      <c r="AC27" s="88" t="s">
        <v>92</v>
      </c>
      <c r="AD27" s="87">
        <v>4</v>
      </c>
      <c r="AE27" s="88" t="s">
        <v>93</v>
      </c>
      <c r="AF27" s="87">
        <v>4</v>
      </c>
      <c r="AG27" s="88" t="s">
        <v>89</v>
      </c>
      <c r="AH27" s="87">
        <v>4</v>
      </c>
      <c r="AI27" s="88" t="s">
        <v>88</v>
      </c>
      <c r="AJ27" s="87">
        <v>4</v>
      </c>
      <c r="AK27" s="89">
        <f>AVERAGE(Z27,AB27,AD27,AF27,AH27,AJ27)</f>
        <v>3.6666666666666665</v>
      </c>
      <c r="AL27" s="179"/>
      <c r="AM27" s="89">
        <f>W27/AK27</f>
        <v>1.1590909090909092</v>
      </c>
      <c r="AN27" s="87" t="str">
        <f>_xlfn.IFS(AM27&lt;=1,"LOW",AND(AM27&gt;1,AM27&lt;=2),"MEDIUM LOW",AND(AM27&gt;2,AM27&lt;=3),"MEDIUM",AND(AM27&gt;3,AM27&lt;=4),"MEDIUM HIGH",AND(AM27&gt;4,AM27&lt;=5),"HIGH")</f>
        <v>MEDIUM LOW</v>
      </c>
      <c r="AO27" s="87">
        <v>1</v>
      </c>
      <c r="AP27" s="87">
        <f>AO27*C27</f>
        <v>6</v>
      </c>
      <c r="AQ27" s="87" t="str">
        <f>_xlfn.IFS(AP27&lt;=5,"LOW RISK",AND(AP27&gt;5,AP27&lt;=12),"MODERATE RISK",AP27&gt;12,"HIGH RISK")</f>
        <v>MODERATE RISK</v>
      </c>
    </row>
    <row r="28" spans="1:43" s="177" customFormat="1" ht="56.25">
      <c r="A28" s="178"/>
      <c r="B28" s="87" t="s">
        <v>230</v>
      </c>
      <c r="C28" s="87">
        <v>6</v>
      </c>
      <c r="D28" s="179"/>
      <c r="E28" s="170" t="s">
        <v>316</v>
      </c>
      <c r="F28" s="180" t="s">
        <v>245</v>
      </c>
      <c r="G28" s="181" t="s">
        <v>303</v>
      </c>
      <c r="H28" s="182">
        <f>_xlfn.IFS(G28="Barangay road
City road",CEILING(2600000*1,1000),G28="Barangay road
City road
National road",CEILING(2600000*2,1000),G28="Barangay road
National road",CEILING(2600000*2,1000),G28="Barangay road",CEILING(2600000*1,1000),G28="City road",CEILING(2600000*1,1000),G28="Barangay road
City road",CEILING(2600000*1,1000),G28="National road",CEILING(2600000*2,1000),G28="Barangay road
NIA
Provincial road",CEILING(2600000*1,1000),G28="Barangay road
NIA
National road",CEILING(2600000*2,1000),G28="Barangay road
Private road
Provincial road",CEILING(2600000*1,1000),G28="Barangay road
Private road
Provincial road
National road",CEILING(2600000*2,1000),G28="Barangay road
NIA
National road
Provincial road",CEILING(2600000*2,1000),G28="Barangay road
Provincial road",CEILING(2600000*1,1000),G28="Barangay road
City road
National road
Provincial road",CEILING(2600000*2,1000),G28="Barangay road
National road
Provincial road",CEILING(2600000*2,1000))</f>
        <v>2600000</v>
      </c>
      <c r="I28" s="204">
        <v>5.8381100000000004</v>
      </c>
      <c r="J28" s="183">
        <v>0.61901899999999999</v>
      </c>
      <c r="K28" s="182">
        <f>H28*J28</f>
        <v>1609449.4</v>
      </c>
      <c r="L28" s="175">
        <f t="shared" si="0"/>
        <v>0.10603071884565381</v>
      </c>
      <c r="M28" s="170">
        <f>_xlfn.IFS(L28&lt;=5%,1,AND(L28&gt;5%,L28&lt;=15%),2,AND(L28&gt;15%,L28&lt;=30%),3,AND(L28&gt;30%,L28&lt;=50%),4,L28&gt;50%,5)</f>
        <v>2</v>
      </c>
      <c r="N28" s="184"/>
      <c r="O28" s="191">
        <f>J28*P28</f>
        <v>0</v>
      </c>
      <c r="P28" s="192">
        <v>0</v>
      </c>
      <c r="Q28" s="170">
        <f>_xlfn.IFS(P28&lt;=5%,1,AND(P28&gt;5%,P28&lt;=15%),2,AND(P28&gt;15%,P28&lt;=30%),3,AND(P28&gt;30%,P28&lt;=50%),4,P28&gt;50%,5)</f>
        <v>1</v>
      </c>
      <c r="R28" s="191">
        <f>J28-O28</f>
        <v>0.61901899999999999</v>
      </c>
      <c r="S28" s="192">
        <f>R28/J28</f>
        <v>1</v>
      </c>
      <c r="T28" s="170">
        <f>_xlfn.IFS(S28&lt;=5%,1,AND(S28&gt;5%,S28&lt;=15%),2,AND(S28&gt;15%,S28&lt;=30%),3,AND(S28&gt;30%,S28&lt;=50%),4,S28&gt;50%,5)</f>
        <v>5</v>
      </c>
      <c r="U28" s="193">
        <f>AVERAGE(Q28,T28)</f>
        <v>3</v>
      </c>
      <c r="V28" s="184"/>
      <c r="W28" s="193">
        <f>AVERAGE(M28,U28)</f>
        <v>2.5</v>
      </c>
      <c r="X28" s="170" t="str">
        <f>_xlfn.IFS(AND(W28&gt;4,W28&lt;=5),"VERY HIGH",AND(W28&gt;3,W28&lt;=4),"HIGH",AND(W28&gt;2,W28&lt;=3),"MODERATE",AND(W28&gt;1,W28&lt;=2),"LOW",W28&lt;=1,"VERY LOW")</f>
        <v>MODERATE</v>
      </c>
      <c r="Y28" s="194" t="s">
        <v>90</v>
      </c>
      <c r="Z28" s="170">
        <v>4</v>
      </c>
      <c r="AA28" s="194" t="s">
        <v>91</v>
      </c>
      <c r="AB28" s="170">
        <v>2</v>
      </c>
      <c r="AC28" s="194" t="s">
        <v>92</v>
      </c>
      <c r="AD28" s="170">
        <v>4</v>
      </c>
      <c r="AE28" s="194" t="s">
        <v>93</v>
      </c>
      <c r="AF28" s="170">
        <v>4</v>
      </c>
      <c r="AG28" s="194" t="s">
        <v>89</v>
      </c>
      <c r="AH28" s="170">
        <v>4</v>
      </c>
      <c r="AI28" s="194" t="s">
        <v>88</v>
      </c>
      <c r="AJ28" s="170">
        <v>4</v>
      </c>
      <c r="AK28" s="193">
        <f>AVERAGE(Z28,AB28,AD28,AF28,AH28,AJ28)</f>
        <v>3.6666666666666665</v>
      </c>
      <c r="AL28" s="184"/>
      <c r="AM28" s="193">
        <f>W28/AK28</f>
        <v>0.68181818181818188</v>
      </c>
      <c r="AN28" s="170" t="str">
        <f>_xlfn.IFS(AM28&lt;=1,"LOW",AND(AM28&gt;1,AM28&lt;=2),"MEDIUM LOW",AND(AM28&gt;2,AM28&lt;=3),"MEDIUM",AND(AM28&gt;3,AM28&lt;=4),"MEDIUM HIGH",AND(AM28&gt;4,AM28&lt;=5),"HIGH")</f>
        <v>LOW</v>
      </c>
      <c r="AO28" s="170">
        <v>1</v>
      </c>
      <c r="AP28" s="170">
        <f>AO28*C28</f>
        <v>6</v>
      </c>
      <c r="AQ28" s="170" t="str">
        <f>_xlfn.IFS(AP28&lt;=5,"LOW RISK",AND(AP28&gt;5,AP28&lt;=12),"MODERATE RISK",AP28&gt;12,"HIGH RISK")</f>
        <v>MODERATE RISK</v>
      </c>
    </row>
    <row r="29" spans="1:43" s="177" customFormat="1" ht="56.25">
      <c r="A29" s="178"/>
      <c r="B29" s="87" t="s">
        <v>230</v>
      </c>
      <c r="C29" s="87">
        <v>6</v>
      </c>
      <c r="D29" s="179"/>
      <c r="E29" s="170" t="s">
        <v>318</v>
      </c>
      <c r="F29" s="180" t="s">
        <v>246</v>
      </c>
      <c r="G29" s="181" t="s">
        <v>301</v>
      </c>
      <c r="H29" s="182">
        <f>_xlfn.IFS(G29="Barangay road
City road",CEILING(2600000*1,1000),G29="Barangay road
City road
National road",CEILING(2600000*2,1000),G29="Barangay road
National road",CEILING(2600000*2,1000),G29="Barangay road",CEILING(2600000*1,1000),G29="City road",CEILING(2600000*1,1000),G29="Barangay road
City road",CEILING(2600000*1,1000),G29="National road",CEILING(2600000*2,1000),G29="Barangay road
NIA
Provincial road",CEILING(2600000*1,1000),G29="Barangay road
NIA
National road",CEILING(2600000*2,1000),G29="Barangay road
Private road
Provincial road",CEILING(2600000*1,1000),G29="Barangay road
Private road
Provincial road
National road",CEILING(2600000*2,1000),G29="Barangay road
NIA
National road
Provincial road",CEILING(2600000*2,1000),G29="Barangay road
Provincial road",CEILING(2600000*1,1000),G29="Barangay road
City road
National road
Provincial road",CEILING(2600000*2,1000),G29="Barangay road
National road
Provincial road",CEILING(2600000*2,1000))</f>
        <v>5200000</v>
      </c>
      <c r="I29" s="204">
        <v>6.4680589600000005</v>
      </c>
      <c r="J29" s="183">
        <v>6.4680583600000006</v>
      </c>
      <c r="K29" s="182">
        <f>H29*J29</f>
        <v>33633903.472000003</v>
      </c>
      <c r="L29" s="175">
        <f t="shared" si="0"/>
        <v>0.99999990723646714</v>
      </c>
      <c r="M29" s="170">
        <f>_xlfn.IFS(L29&lt;=5%,1,AND(L29&gt;5%,L29&lt;=15%),2,AND(L29&gt;15%,L29&lt;=30%),3,AND(L29&gt;30%,L29&lt;=50%),4,L29&gt;50%,5)</f>
        <v>5</v>
      </c>
      <c r="N29" s="184"/>
      <c r="O29" s="90">
        <f>J29*P29</f>
        <v>1.7379672813320002</v>
      </c>
      <c r="P29" s="176">
        <v>0.26869999999999999</v>
      </c>
      <c r="Q29" s="87">
        <f>_xlfn.IFS(P29&lt;=5%,1,AND(P29&gt;5%,P29&lt;=15%),2,AND(P29&gt;15%,P29&lt;=30%),3,AND(P29&gt;30%,P29&lt;=50%),4,P29&gt;50%,5)</f>
        <v>3</v>
      </c>
      <c r="R29" s="90">
        <f>J29-O29</f>
        <v>4.7300910786679999</v>
      </c>
      <c r="S29" s="176">
        <f>R29/J29</f>
        <v>0.73129999999999995</v>
      </c>
      <c r="T29" s="87">
        <f>_xlfn.IFS(S29&lt;=5%,1,AND(S29&gt;5%,S29&lt;=15%),2,AND(S29&gt;15%,S29&lt;=30%),3,AND(S29&gt;30%,S29&lt;=50%),4,S29&gt;50%,5)</f>
        <v>5</v>
      </c>
      <c r="U29" s="89">
        <f>AVERAGE(Q29,T29)</f>
        <v>4</v>
      </c>
      <c r="V29" s="179"/>
      <c r="W29" s="89">
        <f>AVERAGE(M29,U29)</f>
        <v>4.5</v>
      </c>
      <c r="X29" s="87" t="str">
        <f>_xlfn.IFS(AND(W29&gt;4,W29&lt;=5),"VERY HIGH",AND(W29&gt;3,W29&lt;=4),"HIGH",AND(W29&gt;2,W29&lt;=3),"MODERATE",AND(W29&gt;1,W29&lt;=2),"LOW",W29&lt;=1,"VERY LOW")</f>
        <v>VERY HIGH</v>
      </c>
      <c r="Y29" s="88" t="s">
        <v>90</v>
      </c>
      <c r="Z29" s="87">
        <v>4</v>
      </c>
      <c r="AA29" s="88" t="s">
        <v>91</v>
      </c>
      <c r="AB29" s="87">
        <v>2</v>
      </c>
      <c r="AC29" s="88" t="s">
        <v>92</v>
      </c>
      <c r="AD29" s="87">
        <v>4</v>
      </c>
      <c r="AE29" s="88" t="s">
        <v>93</v>
      </c>
      <c r="AF29" s="87">
        <v>4</v>
      </c>
      <c r="AG29" s="88" t="s">
        <v>89</v>
      </c>
      <c r="AH29" s="87">
        <v>4</v>
      </c>
      <c r="AI29" s="88" t="s">
        <v>88</v>
      </c>
      <c r="AJ29" s="87">
        <v>4</v>
      </c>
      <c r="AK29" s="89">
        <f>AVERAGE(Z29,AB29,AD29,AF29,AH29,AJ29)</f>
        <v>3.6666666666666665</v>
      </c>
      <c r="AL29" s="179"/>
      <c r="AM29" s="89">
        <f>W29/AK29</f>
        <v>1.2272727272727273</v>
      </c>
      <c r="AN29" s="87" t="str">
        <f>_xlfn.IFS(AM29&lt;=1,"LOW",AND(AM29&gt;1,AM29&lt;=2),"MEDIUM LOW",AND(AM29&gt;2,AM29&lt;=3),"MEDIUM",AND(AM29&gt;3,AM29&lt;=4),"MEDIUM HIGH",AND(AM29&gt;4,AM29&lt;=5),"HIGH")</f>
        <v>MEDIUM LOW</v>
      </c>
      <c r="AO29" s="87">
        <v>3</v>
      </c>
      <c r="AP29" s="87">
        <f>AO29*C29</f>
        <v>18</v>
      </c>
      <c r="AQ29" s="87" t="str">
        <f>_xlfn.IFS(AP29&lt;=5,"LOW RISK",AND(AP29&gt;5,AP29&lt;=12),"MODERATE RISK",AP29&gt;12,"HIGH RISK")</f>
        <v>HIGH RISK</v>
      </c>
    </row>
    <row r="30" spans="1:43" s="177" customFormat="1" ht="56.25">
      <c r="A30" s="178"/>
      <c r="B30" s="87" t="s">
        <v>230</v>
      </c>
      <c r="C30" s="87">
        <v>6</v>
      </c>
      <c r="D30" s="179"/>
      <c r="E30" s="170" t="s">
        <v>315</v>
      </c>
      <c r="F30" s="180" t="s">
        <v>247</v>
      </c>
      <c r="G30" s="181" t="s">
        <v>303</v>
      </c>
      <c r="H30" s="182">
        <f>_xlfn.IFS(G30="Barangay road
City road",CEILING(2600000*1,1000),G30="Barangay road
City road
National road",CEILING(2600000*2,1000),G30="Barangay road
National road",CEILING(2600000*2,1000),G30="Barangay road",CEILING(2600000*1,1000),G30="City road",CEILING(2600000*1,1000),G30="Barangay road
City road",CEILING(2600000*1,1000),G30="National road",CEILING(2600000*2,1000),G30="Barangay road
NIA
Provincial road",CEILING(2600000*1,1000),G30="Barangay road
NIA
National road",CEILING(2600000*2,1000),G30="Barangay road
Private road
Provincial road",CEILING(2600000*1,1000),G30="Barangay road
Private road
Provincial road
National road",CEILING(2600000*2,1000),G30="Barangay road
NIA
National road
Provincial road",CEILING(2600000*2,1000),G30="Barangay road
Provincial road",CEILING(2600000*1,1000),G30="Barangay road
City road
National road
Provincial road",CEILING(2600000*2,1000),G30="Barangay road
National road
Provincial road",CEILING(2600000*2,1000))</f>
        <v>2600000</v>
      </c>
      <c r="I30" s="204">
        <v>10.1265</v>
      </c>
      <c r="J30" s="183">
        <v>9.6665039999999998</v>
      </c>
      <c r="K30" s="182">
        <f>H30*J30</f>
        <v>25132910.399999999</v>
      </c>
      <c r="L30" s="175">
        <f t="shared" si="0"/>
        <v>0.95457502592208554</v>
      </c>
      <c r="M30" s="170">
        <f>_xlfn.IFS(L30&lt;=5%,1,AND(L30&gt;5%,L30&lt;=15%),2,AND(L30&gt;15%,L30&lt;=30%),3,AND(L30&gt;30%,L30&lt;=50%),4,L30&gt;50%,5)</f>
        <v>5</v>
      </c>
      <c r="N30" s="184"/>
      <c r="O30" s="90">
        <f>J30*P30</f>
        <v>0.40502651759999997</v>
      </c>
      <c r="P30" s="176">
        <v>4.19E-2</v>
      </c>
      <c r="Q30" s="87">
        <f>_xlfn.IFS(P30&lt;=5%,1,AND(P30&gt;5%,P30&lt;=15%),2,AND(P30&gt;15%,P30&lt;=30%),3,AND(P30&gt;30%,P30&lt;=50%),4,P30&gt;50%,5)</f>
        <v>1</v>
      </c>
      <c r="R30" s="90">
        <f>J30-O30</f>
        <v>9.2614774824000001</v>
      </c>
      <c r="S30" s="176">
        <f>R30/J30</f>
        <v>0.95810000000000006</v>
      </c>
      <c r="T30" s="87">
        <f>_xlfn.IFS(S30&lt;=5%,1,AND(S30&gt;5%,S30&lt;=15%),2,AND(S30&gt;15%,S30&lt;=30%),3,AND(S30&gt;30%,S30&lt;=50%),4,S30&gt;50%,5)</f>
        <v>5</v>
      </c>
      <c r="U30" s="89">
        <f>AVERAGE(Q30,T30)</f>
        <v>3</v>
      </c>
      <c r="V30" s="179"/>
      <c r="W30" s="89">
        <f>AVERAGE(M30,U30)</f>
        <v>4</v>
      </c>
      <c r="X30" s="87" t="str">
        <f>_xlfn.IFS(AND(W30&gt;4,W30&lt;=5),"VERY HIGH",AND(W30&gt;3,W30&lt;=4),"HIGH",AND(W30&gt;2,W30&lt;=3),"MODERATE",AND(W30&gt;1,W30&lt;=2),"LOW",W30&lt;=1,"VERY LOW")</f>
        <v>HIGH</v>
      </c>
      <c r="Y30" s="88" t="s">
        <v>90</v>
      </c>
      <c r="Z30" s="87">
        <v>4</v>
      </c>
      <c r="AA30" s="88" t="s">
        <v>91</v>
      </c>
      <c r="AB30" s="87">
        <v>2</v>
      </c>
      <c r="AC30" s="88" t="s">
        <v>92</v>
      </c>
      <c r="AD30" s="87">
        <v>4</v>
      </c>
      <c r="AE30" s="88" t="s">
        <v>93</v>
      </c>
      <c r="AF30" s="87">
        <v>4</v>
      </c>
      <c r="AG30" s="88" t="s">
        <v>89</v>
      </c>
      <c r="AH30" s="87">
        <v>4</v>
      </c>
      <c r="AI30" s="88" t="s">
        <v>88</v>
      </c>
      <c r="AJ30" s="87">
        <v>4</v>
      </c>
      <c r="AK30" s="89">
        <f>AVERAGE(Z30,AB30,AD30,AF30,AH30,AJ30)</f>
        <v>3.6666666666666665</v>
      </c>
      <c r="AL30" s="179"/>
      <c r="AM30" s="89">
        <f>W30/AK30</f>
        <v>1.0909090909090911</v>
      </c>
      <c r="AN30" s="87" t="str">
        <f>_xlfn.IFS(AM30&lt;=1,"LOW",AND(AM30&gt;1,AM30&lt;=2),"MEDIUM LOW",AND(AM30&gt;2,AM30&lt;=3),"MEDIUM",AND(AM30&gt;3,AM30&lt;=4),"MEDIUM HIGH",AND(AM30&gt;4,AM30&lt;=5),"HIGH")</f>
        <v>MEDIUM LOW</v>
      </c>
      <c r="AO30" s="87">
        <v>1</v>
      </c>
      <c r="AP30" s="87">
        <f>AO30*C30</f>
        <v>6</v>
      </c>
      <c r="AQ30" s="87" t="str">
        <f>_xlfn.IFS(AP30&lt;=5,"LOW RISK",AND(AP30&gt;5,AP30&lt;=12),"MODERATE RISK",AP30&gt;12,"HIGH RISK")</f>
        <v>MODERATE RISK</v>
      </c>
    </row>
    <row r="31" spans="1:43" s="177" customFormat="1" ht="56.25">
      <c r="A31" s="178"/>
      <c r="B31" s="87" t="s">
        <v>230</v>
      </c>
      <c r="C31" s="87">
        <v>6</v>
      </c>
      <c r="D31" s="179"/>
      <c r="E31" s="170" t="s">
        <v>316</v>
      </c>
      <c r="F31" s="180" t="s">
        <v>248</v>
      </c>
      <c r="G31" s="181" t="s">
        <v>303</v>
      </c>
      <c r="H31" s="182">
        <f>_xlfn.IFS(G31="Barangay road
City road",CEILING(2600000*1,1000),G31="Barangay road
City road
National road",CEILING(2600000*2,1000),G31="Barangay road
National road",CEILING(2600000*2,1000),G31="Barangay road",CEILING(2600000*1,1000),G31="City road",CEILING(2600000*1,1000),G31="Barangay road
City road",CEILING(2600000*1,1000),G31="National road",CEILING(2600000*2,1000),G31="Barangay road
NIA
Provincial road",CEILING(2600000*1,1000),G31="Barangay road
NIA
National road",CEILING(2600000*2,1000),G31="Barangay road
Private road
Provincial road",CEILING(2600000*1,1000),G31="Barangay road
Private road
Provincial road
National road",CEILING(2600000*2,1000),G31="Barangay road
NIA
National road
Provincial road",CEILING(2600000*2,1000),G31="Barangay road
Provincial road",CEILING(2600000*1,1000),G31="Barangay road
City road
National road
Provincial road",CEILING(2600000*2,1000),G31="Barangay road
National road
Provincial road",CEILING(2600000*2,1000))</f>
        <v>2600000</v>
      </c>
      <c r="I31" s="204">
        <v>13.091200000000001</v>
      </c>
      <c r="J31" s="183">
        <v>1.91228</v>
      </c>
      <c r="K31" s="182">
        <f>H31*J31</f>
        <v>4971928</v>
      </c>
      <c r="L31" s="175">
        <f t="shared" si="0"/>
        <v>0.14607369836225861</v>
      </c>
      <c r="M31" s="170">
        <f>_xlfn.IFS(L31&lt;=5%,1,AND(L31&gt;5%,L31&lt;=15%),2,AND(L31&gt;15%,L31&lt;=30%),3,AND(L31&gt;30%,L31&lt;=50%),4,L31&gt;50%,5)</f>
        <v>2</v>
      </c>
      <c r="N31" s="184"/>
      <c r="O31" s="191">
        <f>J31*P31</f>
        <v>7.3240323999999996E-2</v>
      </c>
      <c r="P31" s="192">
        <v>3.8300000000000001E-2</v>
      </c>
      <c r="Q31" s="170">
        <f>_xlfn.IFS(P31&lt;=5%,1,AND(P31&gt;5%,P31&lt;=15%),2,AND(P31&gt;15%,P31&lt;=30%),3,AND(P31&gt;30%,P31&lt;=50%),4,P31&gt;50%,5)</f>
        <v>1</v>
      </c>
      <c r="R31" s="191">
        <f>J31-O31</f>
        <v>1.8390396760000001</v>
      </c>
      <c r="S31" s="192">
        <f>R31/J31</f>
        <v>0.9617</v>
      </c>
      <c r="T31" s="170">
        <f>_xlfn.IFS(S31&lt;=5%,1,AND(S31&gt;5%,S31&lt;=15%),2,AND(S31&gt;15%,S31&lt;=30%),3,AND(S31&gt;30%,S31&lt;=50%),4,S31&gt;50%,5)</f>
        <v>5</v>
      </c>
      <c r="U31" s="193">
        <f>AVERAGE(Q31,T31)</f>
        <v>3</v>
      </c>
      <c r="V31" s="184"/>
      <c r="W31" s="193">
        <f>AVERAGE(M31,U31)</f>
        <v>2.5</v>
      </c>
      <c r="X31" s="170" t="str">
        <f>_xlfn.IFS(AND(W31&gt;4,W31&lt;=5),"VERY HIGH",AND(W31&gt;3,W31&lt;=4),"HIGH",AND(W31&gt;2,W31&lt;=3),"MODERATE",AND(W31&gt;1,W31&lt;=2),"LOW",W31&lt;=1,"VERY LOW")</f>
        <v>MODERATE</v>
      </c>
      <c r="Y31" s="194" t="s">
        <v>90</v>
      </c>
      <c r="Z31" s="170">
        <v>4</v>
      </c>
      <c r="AA31" s="194" t="s">
        <v>91</v>
      </c>
      <c r="AB31" s="170">
        <v>2</v>
      </c>
      <c r="AC31" s="194" t="s">
        <v>92</v>
      </c>
      <c r="AD31" s="170">
        <v>4</v>
      </c>
      <c r="AE31" s="194" t="s">
        <v>93</v>
      </c>
      <c r="AF31" s="170">
        <v>4</v>
      </c>
      <c r="AG31" s="194" t="s">
        <v>89</v>
      </c>
      <c r="AH31" s="170">
        <v>4</v>
      </c>
      <c r="AI31" s="194" t="s">
        <v>88</v>
      </c>
      <c r="AJ31" s="170">
        <v>4</v>
      </c>
      <c r="AK31" s="193">
        <f>AVERAGE(Z31,AB31,AD31,AF31,AH31,AJ31)</f>
        <v>3.6666666666666665</v>
      </c>
      <c r="AL31" s="184"/>
      <c r="AM31" s="193">
        <f>W31/AK31</f>
        <v>0.68181818181818188</v>
      </c>
      <c r="AN31" s="170" t="str">
        <f>_xlfn.IFS(AM31&lt;=1,"LOW",AND(AM31&gt;1,AM31&lt;=2),"MEDIUM LOW",AND(AM31&gt;2,AM31&lt;=3),"MEDIUM",AND(AM31&gt;3,AM31&lt;=4),"MEDIUM HIGH",AND(AM31&gt;4,AM31&lt;=5),"HIGH")</f>
        <v>LOW</v>
      </c>
      <c r="AO31" s="170">
        <v>1</v>
      </c>
      <c r="AP31" s="170">
        <f>AO31*C31</f>
        <v>6</v>
      </c>
      <c r="AQ31" s="170" t="str">
        <f>_xlfn.IFS(AP31&lt;=5,"LOW RISK",AND(AP31&gt;5,AP31&lt;=12),"MODERATE RISK",AP31&gt;12,"HIGH RISK")</f>
        <v>MODERATE RISK</v>
      </c>
    </row>
    <row r="32" spans="1:43" s="177" customFormat="1" ht="56.25">
      <c r="A32" s="178"/>
      <c r="B32" s="87" t="s">
        <v>230</v>
      </c>
      <c r="C32" s="87">
        <v>6</v>
      </c>
      <c r="D32" s="179"/>
      <c r="E32" s="170" t="s">
        <v>318</v>
      </c>
      <c r="F32" s="180" t="s">
        <v>249</v>
      </c>
      <c r="G32" s="181" t="s">
        <v>300</v>
      </c>
      <c r="H32" s="182">
        <f>_xlfn.IFS(G32="Barangay road
City road",CEILING(2600000*1,1000),G32="Barangay road
City road
National road",CEILING(2600000*2,1000),G32="Barangay road
National road",CEILING(2600000*2,1000),G32="Barangay road",CEILING(2600000*1,1000),G32="City road",CEILING(2600000*1,1000),G32="Barangay road
City road",CEILING(2600000*1,1000),G32="National road",CEILING(2600000*2,1000),G32="Barangay road
NIA
Provincial road",CEILING(2600000*1,1000),G32="Barangay road
NIA
National road",CEILING(2600000*2,1000),G32="Barangay road
Private road
Provincial road",CEILING(2600000*1,1000),G32="Barangay road
Private road
Provincial road
National road",CEILING(2600000*2,1000),G32="Barangay road
NIA
National road
Provincial road",CEILING(2600000*2,1000),G32="Barangay road
Provincial road",CEILING(2600000*1,1000),G32="Barangay road
City road
National road
Provincial road",CEILING(2600000*2,1000),G32="Barangay road
National road
Provincial road",CEILING(2600000*2,1000))</f>
        <v>2600000</v>
      </c>
      <c r="I32" s="204">
        <v>4.8544600000000004</v>
      </c>
      <c r="J32" s="183">
        <v>4.8544559999999999</v>
      </c>
      <c r="K32" s="182">
        <f>H32*J32</f>
        <v>12621585.6</v>
      </c>
      <c r="L32" s="175">
        <f t="shared" si="0"/>
        <v>0.99999917601545785</v>
      </c>
      <c r="M32" s="170">
        <f>_xlfn.IFS(L32&lt;=5%,1,AND(L32&gt;5%,L32&lt;=15%),2,AND(L32&gt;15%,L32&lt;=30%),3,AND(L32&gt;30%,L32&lt;=50%),4,L32&gt;50%,5)</f>
        <v>5</v>
      </c>
      <c r="N32" s="184"/>
      <c r="O32" s="90">
        <f>J32*P32</f>
        <v>4.0350238271999999</v>
      </c>
      <c r="P32" s="176">
        <v>0.83120000000000005</v>
      </c>
      <c r="Q32" s="87">
        <f>_xlfn.IFS(P32&lt;=5%,1,AND(P32&gt;5%,P32&lt;=15%),2,AND(P32&gt;15%,P32&lt;=30%),3,AND(P32&gt;30%,P32&lt;=50%),4,P32&gt;50%,5)</f>
        <v>5</v>
      </c>
      <c r="R32" s="90">
        <f>J32-O32</f>
        <v>0.81943217280000002</v>
      </c>
      <c r="S32" s="176">
        <f>R32/J32</f>
        <v>0.16880000000000001</v>
      </c>
      <c r="T32" s="87">
        <f>_xlfn.IFS(S32&lt;=5%,1,AND(S32&gt;5%,S32&lt;=15%),2,AND(S32&gt;15%,S32&lt;=30%),3,AND(S32&gt;30%,S32&lt;=50%),4,S32&gt;50%,5)</f>
        <v>3</v>
      </c>
      <c r="U32" s="89">
        <f>AVERAGE(Q32,T32)</f>
        <v>4</v>
      </c>
      <c r="V32" s="179"/>
      <c r="W32" s="89">
        <f>AVERAGE(M32,U32)</f>
        <v>4.5</v>
      </c>
      <c r="X32" s="87" t="str">
        <f>_xlfn.IFS(AND(W32&gt;4,W32&lt;=5),"VERY HIGH",AND(W32&gt;3,W32&lt;=4),"HIGH",AND(W32&gt;2,W32&lt;=3),"MODERATE",AND(W32&gt;1,W32&lt;=2),"LOW",W32&lt;=1,"VERY LOW")</f>
        <v>VERY HIGH</v>
      </c>
      <c r="Y32" s="88" t="s">
        <v>90</v>
      </c>
      <c r="Z32" s="87">
        <v>4</v>
      </c>
      <c r="AA32" s="88" t="s">
        <v>91</v>
      </c>
      <c r="AB32" s="87">
        <v>2</v>
      </c>
      <c r="AC32" s="88" t="s">
        <v>92</v>
      </c>
      <c r="AD32" s="87">
        <v>4</v>
      </c>
      <c r="AE32" s="88" t="s">
        <v>93</v>
      </c>
      <c r="AF32" s="87">
        <v>4</v>
      </c>
      <c r="AG32" s="88" t="s">
        <v>89</v>
      </c>
      <c r="AH32" s="87">
        <v>4</v>
      </c>
      <c r="AI32" s="88" t="s">
        <v>88</v>
      </c>
      <c r="AJ32" s="87">
        <v>4</v>
      </c>
      <c r="AK32" s="89">
        <f>AVERAGE(Z32,AB32,AD32,AF32,AH32,AJ32)</f>
        <v>3.6666666666666665</v>
      </c>
      <c r="AL32" s="179"/>
      <c r="AM32" s="89">
        <f>W32/AK32</f>
        <v>1.2272727272727273</v>
      </c>
      <c r="AN32" s="87" t="str">
        <f>_xlfn.IFS(AM32&lt;=1,"LOW",AND(AM32&gt;1,AM32&lt;=2),"MEDIUM LOW",AND(AM32&gt;2,AM32&lt;=3),"MEDIUM",AND(AM32&gt;3,AM32&lt;=4),"MEDIUM HIGH",AND(AM32&gt;4,AM32&lt;=5),"HIGH")</f>
        <v>MEDIUM LOW</v>
      </c>
      <c r="AO32" s="87">
        <v>3</v>
      </c>
      <c r="AP32" s="87">
        <f>AO32*C32</f>
        <v>18</v>
      </c>
      <c r="AQ32" s="87" t="str">
        <f>_xlfn.IFS(AP32&lt;=5,"LOW RISK",AND(AP32&gt;5,AP32&lt;=12),"MODERATE RISK",AP32&gt;12,"HIGH RISK")</f>
        <v>HIGH RISK</v>
      </c>
    </row>
    <row r="33" spans="1:43" s="177" customFormat="1" ht="56.25">
      <c r="A33" s="178"/>
      <c r="B33" s="87" t="s">
        <v>230</v>
      </c>
      <c r="C33" s="87">
        <v>6</v>
      </c>
      <c r="D33" s="179"/>
      <c r="E33" s="170" t="s">
        <v>316</v>
      </c>
      <c r="F33" s="180" t="s">
        <v>250</v>
      </c>
      <c r="G33" s="181" t="s">
        <v>306</v>
      </c>
      <c r="H33" s="182">
        <f>_xlfn.IFS(G33="Barangay road
City road",CEILING(2600000*1,1000),G33="Barangay road
City road
National road",CEILING(2600000*2,1000),G33="Barangay road
National road",CEILING(2600000*2,1000),G33="Barangay road",CEILING(2600000*1,1000),G33="City road",CEILING(2600000*1,1000),G33="Barangay road
City road",CEILING(2600000*1,1000),G33="National road",CEILING(2600000*2,1000),G33="Barangay road
NIA
Provincial road",CEILING(2600000*1,1000),G33="Barangay road
NIA
National road",CEILING(2600000*2,1000),G33="Barangay road
Private road
Provincial road",CEILING(2600000*1,1000),G33="Barangay road
Private road
Provincial road
National road",CEILING(2600000*2,1000),G33="Barangay road
NIA
National road
Provincial road",CEILING(2600000*2,1000),G33="Barangay road
Provincial road",CEILING(2600000*1,1000),G33="Barangay road
City road
National road
Provincial road",CEILING(2600000*2,1000),G33="Barangay road
National road
Provincial road",CEILING(2600000*2,1000))</f>
        <v>5200000</v>
      </c>
      <c r="I33" s="204">
        <v>12.750299999999999</v>
      </c>
      <c r="J33" s="183">
        <v>8.8772377999999996</v>
      </c>
      <c r="K33" s="182">
        <f>H33*J33</f>
        <v>46161636.559999995</v>
      </c>
      <c r="L33" s="175">
        <f t="shared" si="0"/>
        <v>0.69623756303773243</v>
      </c>
      <c r="M33" s="170">
        <f>_xlfn.IFS(L33&lt;=5%,1,AND(L33&gt;5%,L33&lt;=15%),2,AND(L33&gt;15%,L33&lt;=30%),3,AND(L33&gt;30%,L33&lt;=50%),4,L33&gt;50%,5)</f>
        <v>5</v>
      </c>
      <c r="N33" s="184"/>
      <c r="O33" s="191">
        <f>J33*P33</f>
        <v>5.9921355150000002</v>
      </c>
      <c r="P33" s="192">
        <v>0.67500000000000004</v>
      </c>
      <c r="Q33" s="170">
        <f>_xlfn.IFS(P33&lt;=5%,1,AND(P33&gt;5%,P33&lt;=15%),2,AND(P33&gt;15%,P33&lt;=30%),3,AND(P33&gt;30%,P33&lt;=50%),4,P33&gt;50%,5)</f>
        <v>5</v>
      </c>
      <c r="R33" s="191">
        <f>J33-O33</f>
        <v>2.8851022849999994</v>
      </c>
      <c r="S33" s="192">
        <f>R33/J33</f>
        <v>0.32499999999999996</v>
      </c>
      <c r="T33" s="170">
        <f>_xlfn.IFS(S33&lt;=5%,1,AND(S33&gt;5%,S33&lt;=15%),2,AND(S33&gt;15%,S33&lt;=30%),3,AND(S33&gt;30%,S33&lt;=50%),4,S33&gt;50%,5)</f>
        <v>4</v>
      </c>
      <c r="U33" s="193">
        <f>AVERAGE(Q33,T33)</f>
        <v>4.5</v>
      </c>
      <c r="V33" s="184"/>
      <c r="W33" s="193">
        <f>AVERAGE(M33,U33)</f>
        <v>4.75</v>
      </c>
      <c r="X33" s="170" t="str">
        <f>_xlfn.IFS(AND(W33&gt;4,W33&lt;=5),"VERY HIGH",AND(W33&gt;3,W33&lt;=4),"HIGH",AND(W33&gt;2,W33&lt;=3),"MODERATE",AND(W33&gt;1,W33&lt;=2),"LOW",W33&lt;=1,"VERY LOW")</f>
        <v>VERY HIGH</v>
      </c>
      <c r="Y33" s="194" t="s">
        <v>90</v>
      </c>
      <c r="Z33" s="170">
        <v>4</v>
      </c>
      <c r="AA33" s="194" t="s">
        <v>91</v>
      </c>
      <c r="AB33" s="170">
        <v>2</v>
      </c>
      <c r="AC33" s="194" t="s">
        <v>92</v>
      </c>
      <c r="AD33" s="170">
        <v>4</v>
      </c>
      <c r="AE33" s="194" t="s">
        <v>93</v>
      </c>
      <c r="AF33" s="170">
        <v>4</v>
      </c>
      <c r="AG33" s="194" t="s">
        <v>89</v>
      </c>
      <c r="AH33" s="170">
        <v>4</v>
      </c>
      <c r="AI33" s="194" t="s">
        <v>88</v>
      </c>
      <c r="AJ33" s="170">
        <v>4</v>
      </c>
      <c r="AK33" s="193">
        <f>AVERAGE(Z33,AB33,AD33,AF33,AH33,AJ33)</f>
        <v>3.6666666666666665</v>
      </c>
      <c r="AL33" s="184"/>
      <c r="AM33" s="193">
        <f>W33/AK33</f>
        <v>1.2954545454545454</v>
      </c>
      <c r="AN33" s="170" t="str">
        <f>_xlfn.IFS(AM33&lt;=1,"LOW",AND(AM33&gt;1,AM33&lt;=2),"MEDIUM LOW",AND(AM33&gt;2,AM33&lt;=3),"MEDIUM",AND(AM33&gt;3,AM33&lt;=4),"MEDIUM HIGH",AND(AM33&gt;4,AM33&lt;=5),"HIGH")</f>
        <v>MEDIUM LOW</v>
      </c>
      <c r="AO33" s="170">
        <v>1</v>
      </c>
      <c r="AP33" s="170">
        <f>AO33*C33</f>
        <v>6</v>
      </c>
      <c r="AQ33" s="170" t="str">
        <f>_xlfn.IFS(AP33&lt;=5,"LOW RISK",AND(AP33&gt;5,AP33&lt;=12),"MODERATE RISK",AP33&gt;12,"HIGH RISK")</f>
        <v>MODERATE RISK</v>
      </c>
    </row>
    <row r="34" spans="1:43" s="177" customFormat="1" ht="56.25">
      <c r="A34" s="178"/>
      <c r="B34" s="87" t="s">
        <v>230</v>
      </c>
      <c r="C34" s="87">
        <v>6</v>
      </c>
      <c r="D34" s="179"/>
      <c r="E34" s="170" t="s">
        <v>316</v>
      </c>
      <c r="F34" s="180" t="s">
        <v>251</v>
      </c>
      <c r="G34" s="181" t="s">
        <v>307</v>
      </c>
      <c r="H34" s="182">
        <f>_xlfn.IFS(G34="Barangay road
City road",CEILING(2600000*1,1000),G34="Barangay road
City road
National road",CEILING(2600000*2,1000),G34="Barangay road
National road",CEILING(2600000*2,1000),G34="Barangay road",CEILING(2600000*1,1000),G34="City road",CEILING(2600000*1,1000),G34="Barangay road
City road",CEILING(2600000*1,1000),G34="National road",CEILING(2600000*2,1000),G34="Barangay road
NIA
Provincial road",CEILING(2600000*1,1000),G34="Barangay road
NIA
National road",CEILING(2600000*2,1000),G34="Barangay road
Private road
Provincial road",CEILING(2600000*1,1000),G34="Barangay road
Private road
Provincial road
National road",CEILING(2600000*2,1000),G34="Barangay road
NIA
National road
Provincial road",CEILING(2600000*2,1000),G34="Barangay road
Provincial road",CEILING(2600000*1,1000),G34="Barangay road
City road
National road
Provincial road",CEILING(2600000*2,1000),G34="Barangay road
National road
Provincial road",CEILING(2600000*2,1000))</f>
        <v>5200000</v>
      </c>
      <c r="I34" s="204">
        <v>2.2807499999999998</v>
      </c>
      <c r="J34" s="183">
        <v>0.172046</v>
      </c>
      <c r="K34" s="182">
        <f>H34*J34</f>
        <v>894639.20000000007</v>
      </c>
      <c r="L34" s="175">
        <f t="shared" si="0"/>
        <v>7.5433958127808842E-2</v>
      </c>
      <c r="M34" s="170">
        <f>_xlfn.IFS(L34&lt;=5%,1,AND(L34&gt;5%,L34&lt;=15%),2,AND(L34&gt;15%,L34&lt;=30%),3,AND(L34&gt;30%,L34&lt;=50%),4,L34&gt;50%,5)</f>
        <v>2</v>
      </c>
      <c r="N34" s="184"/>
      <c r="O34" s="191">
        <f>J34*P34</f>
        <v>0.172046</v>
      </c>
      <c r="P34" s="192">
        <v>1</v>
      </c>
      <c r="Q34" s="170">
        <f>_xlfn.IFS(P34&lt;=5%,1,AND(P34&gt;5%,P34&lt;=15%),2,AND(P34&gt;15%,P34&lt;=30%),3,AND(P34&gt;30%,P34&lt;=50%),4,P34&gt;50%,5)</f>
        <v>5</v>
      </c>
      <c r="R34" s="191">
        <f>J34-O34</f>
        <v>0</v>
      </c>
      <c r="S34" s="192">
        <f>R34/J34</f>
        <v>0</v>
      </c>
      <c r="T34" s="170">
        <f>_xlfn.IFS(S34&lt;=5%,1,AND(S34&gt;5%,S34&lt;=15%),2,AND(S34&gt;15%,S34&lt;=30%),3,AND(S34&gt;30%,S34&lt;=50%),4,S34&gt;50%,5)</f>
        <v>1</v>
      </c>
      <c r="U34" s="193">
        <f>AVERAGE(Q34,T34)</f>
        <v>3</v>
      </c>
      <c r="V34" s="184"/>
      <c r="W34" s="193">
        <f>AVERAGE(M34,U34)</f>
        <v>2.5</v>
      </c>
      <c r="X34" s="170" t="str">
        <f>_xlfn.IFS(AND(W34&gt;4,W34&lt;=5),"VERY HIGH",AND(W34&gt;3,W34&lt;=4),"HIGH",AND(W34&gt;2,W34&lt;=3),"MODERATE",AND(W34&gt;1,W34&lt;=2),"LOW",W34&lt;=1,"VERY LOW")</f>
        <v>MODERATE</v>
      </c>
      <c r="Y34" s="194" t="s">
        <v>90</v>
      </c>
      <c r="Z34" s="170">
        <v>4</v>
      </c>
      <c r="AA34" s="194" t="s">
        <v>91</v>
      </c>
      <c r="AB34" s="170">
        <v>2</v>
      </c>
      <c r="AC34" s="194" t="s">
        <v>92</v>
      </c>
      <c r="AD34" s="170">
        <v>4</v>
      </c>
      <c r="AE34" s="194" t="s">
        <v>93</v>
      </c>
      <c r="AF34" s="170">
        <v>4</v>
      </c>
      <c r="AG34" s="194" t="s">
        <v>89</v>
      </c>
      <c r="AH34" s="170">
        <v>4</v>
      </c>
      <c r="AI34" s="194" t="s">
        <v>88</v>
      </c>
      <c r="AJ34" s="170">
        <v>4</v>
      </c>
      <c r="AK34" s="193">
        <f>AVERAGE(Z34,AB34,AD34,AF34,AH34,AJ34)</f>
        <v>3.6666666666666665</v>
      </c>
      <c r="AL34" s="184"/>
      <c r="AM34" s="193">
        <f>W34/AK34</f>
        <v>0.68181818181818188</v>
      </c>
      <c r="AN34" s="170" t="str">
        <f>_xlfn.IFS(AM34&lt;=1,"LOW",AND(AM34&gt;1,AM34&lt;=2),"MEDIUM LOW",AND(AM34&gt;2,AM34&lt;=3),"MEDIUM",AND(AM34&gt;3,AM34&lt;=4),"MEDIUM HIGH",AND(AM34&gt;4,AM34&lt;=5),"HIGH")</f>
        <v>LOW</v>
      </c>
      <c r="AO34" s="170">
        <v>1</v>
      </c>
      <c r="AP34" s="170">
        <f>AO34*C34</f>
        <v>6</v>
      </c>
      <c r="AQ34" s="170" t="str">
        <f>_xlfn.IFS(AP34&lt;=5,"LOW RISK",AND(AP34&gt;5,AP34&lt;=12),"MODERATE RISK",AP34&gt;12,"HIGH RISK")</f>
        <v>MODERATE RISK</v>
      </c>
    </row>
    <row r="35" spans="1:43" s="177" customFormat="1" ht="56.25">
      <c r="A35" s="178"/>
      <c r="B35" s="87" t="s">
        <v>230</v>
      </c>
      <c r="C35" s="87">
        <v>6</v>
      </c>
      <c r="D35" s="179"/>
      <c r="E35" s="170" t="s">
        <v>318</v>
      </c>
      <c r="F35" s="180" t="s">
        <v>252</v>
      </c>
      <c r="G35" s="181" t="s">
        <v>301</v>
      </c>
      <c r="H35" s="182">
        <f>_xlfn.IFS(G35="Barangay road
City road",CEILING(2600000*1,1000),G35="Barangay road
City road
National road",CEILING(2600000*2,1000),G35="Barangay road
National road",CEILING(2600000*2,1000),G35="Barangay road",CEILING(2600000*1,1000),G35="City road",CEILING(2600000*1,1000),G35="Barangay road
City road",CEILING(2600000*1,1000),G35="National road",CEILING(2600000*2,1000),G35="Barangay road
NIA
Provincial road",CEILING(2600000*1,1000),G35="Barangay road
NIA
National road",CEILING(2600000*2,1000),G35="Barangay road
Private road
Provincial road",CEILING(2600000*1,1000),G35="Barangay road
Private road
Provincial road
National road",CEILING(2600000*2,1000),G35="Barangay road
NIA
National road
Provincial road",CEILING(2600000*2,1000),G35="Barangay road
Provincial road",CEILING(2600000*1,1000),G35="Barangay road
City road
National road
Provincial road",CEILING(2600000*2,1000),G35="Barangay road
National road
Provincial road",CEILING(2600000*2,1000))</f>
        <v>5200000</v>
      </c>
      <c r="I35" s="204">
        <v>2.435546</v>
      </c>
      <c r="J35" s="183">
        <v>2.4355495999999999</v>
      </c>
      <c r="K35" s="182">
        <f>H35*J35</f>
        <v>12664857.92</v>
      </c>
      <c r="L35" s="175">
        <f t="shared" si="0"/>
        <v>1.0000014781079889</v>
      </c>
      <c r="M35" s="170">
        <f>_xlfn.IFS(L35&lt;=5%,1,AND(L35&gt;5%,L35&lt;=15%),2,AND(L35&gt;15%,L35&lt;=30%),3,AND(L35&gt;30%,L35&lt;=50%),4,L35&gt;50%,5)</f>
        <v>5</v>
      </c>
      <c r="N35" s="184"/>
      <c r="O35" s="90">
        <f>J35*P35</f>
        <v>2.4355495999999999</v>
      </c>
      <c r="P35" s="176">
        <v>1</v>
      </c>
      <c r="Q35" s="87">
        <f>_xlfn.IFS(P35&lt;=5%,1,AND(P35&gt;5%,P35&lt;=15%),2,AND(P35&gt;15%,P35&lt;=30%),3,AND(P35&gt;30%,P35&lt;=50%),4,P35&gt;50%,5)</f>
        <v>5</v>
      </c>
      <c r="R35" s="90">
        <f>J35-O35</f>
        <v>0</v>
      </c>
      <c r="S35" s="176">
        <f>R35/J35</f>
        <v>0</v>
      </c>
      <c r="T35" s="87">
        <f>_xlfn.IFS(S35&lt;=5%,1,AND(S35&gt;5%,S35&lt;=15%),2,AND(S35&gt;15%,S35&lt;=30%),3,AND(S35&gt;30%,S35&lt;=50%),4,S35&gt;50%,5)</f>
        <v>1</v>
      </c>
      <c r="U35" s="89">
        <f>AVERAGE(Q35,T35)</f>
        <v>3</v>
      </c>
      <c r="V35" s="179"/>
      <c r="W35" s="89">
        <f>AVERAGE(M35,U35)</f>
        <v>4</v>
      </c>
      <c r="X35" s="87" t="str">
        <f>_xlfn.IFS(AND(W35&gt;4,W35&lt;=5),"VERY HIGH",AND(W35&gt;3,W35&lt;=4),"HIGH",AND(W35&gt;2,W35&lt;=3),"MODERATE",AND(W35&gt;1,W35&lt;=2),"LOW",W35&lt;=1,"VERY LOW")</f>
        <v>HIGH</v>
      </c>
      <c r="Y35" s="88" t="s">
        <v>90</v>
      </c>
      <c r="Z35" s="87">
        <v>4</v>
      </c>
      <c r="AA35" s="88" t="s">
        <v>91</v>
      </c>
      <c r="AB35" s="87">
        <v>2</v>
      </c>
      <c r="AC35" s="88" t="s">
        <v>92</v>
      </c>
      <c r="AD35" s="87">
        <v>4</v>
      </c>
      <c r="AE35" s="88" t="s">
        <v>93</v>
      </c>
      <c r="AF35" s="87">
        <v>4</v>
      </c>
      <c r="AG35" s="88" t="s">
        <v>89</v>
      </c>
      <c r="AH35" s="87">
        <v>4</v>
      </c>
      <c r="AI35" s="88" t="s">
        <v>88</v>
      </c>
      <c r="AJ35" s="87">
        <v>4</v>
      </c>
      <c r="AK35" s="89">
        <f>AVERAGE(Z35,AB35,AD35,AF35,AH35,AJ35)</f>
        <v>3.6666666666666665</v>
      </c>
      <c r="AL35" s="179"/>
      <c r="AM35" s="89">
        <f>W35/AK35</f>
        <v>1.0909090909090911</v>
      </c>
      <c r="AN35" s="87" t="str">
        <f>_xlfn.IFS(AM35&lt;=1,"LOW",AND(AM35&gt;1,AM35&lt;=2),"MEDIUM LOW",AND(AM35&gt;2,AM35&lt;=3),"MEDIUM",AND(AM35&gt;3,AM35&lt;=4),"MEDIUM HIGH",AND(AM35&gt;4,AM35&lt;=5),"HIGH")</f>
        <v>MEDIUM LOW</v>
      </c>
      <c r="AO35" s="87">
        <v>3</v>
      </c>
      <c r="AP35" s="87">
        <f>AO35*C35</f>
        <v>18</v>
      </c>
      <c r="AQ35" s="87" t="str">
        <f>_xlfn.IFS(AP35&lt;=5,"LOW RISK",AND(AP35&gt;5,AP35&lt;=12),"MODERATE RISK",AP35&gt;12,"HIGH RISK")</f>
        <v>HIGH RISK</v>
      </c>
    </row>
    <row r="36" spans="1:43" s="177" customFormat="1" ht="56.25">
      <c r="A36" s="178"/>
      <c r="B36" s="87" t="s">
        <v>230</v>
      </c>
      <c r="C36" s="87">
        <v>6</v>
      </c>
      <c r="D36" s="179"/>
      <c r="E36" s="170" t="s">
        <v>316</v>
      </c>
      <c r="F36" s="180" t="s">
        <v>253</v>
      </c>
      <c r="G36" s="181" t="s">
        <v>303</v>
      </c>
      <c r="H36" s="182">
        <f>_xlfn.IFS(G36="Barangay road
City road",CEILING(2600000*1,1000),G36="Barangay road
City road
National road",CEILING(2600000*2,1000),G36="Barangay road
National road",CEILING(2600000*2,1000),G36="Barangay road",CEILING(2600000*1,1000),G36="City road",CEILING(2600000*1,1000),G36="Barangay road
City road",CEILING(2600000*1,1000),G36="National road",CEILING(2600000*2,1000),G36="Barangay road
NIA
Provincial road",CEILING(2600000*1,1000),G36="Barangay road
NIA
National road",CEILING(2600000*2,1000),G36="Barangay road
Private road
Provincial road",CEILING(2600000*1,1000),G36="Barangay road
Private road
Provincial road
National road",CEILING(2600000*2,1000),G36="Barangay road
NIA
National road
Provincial road",CEILING(2600000*2,1000),G36="Barangay road
Provincial road",CEILING(2600000*1,1000),G36="Barangay road
City road
National road
Provincial road",CEILING(2600000*2,1000),G36="Barangay road
National road
Provincial road",CEILING(2600000*2,1000))</f>
        <v>2600000</v>
      </c>
      <c r="I36" s="204">
        <v>5.7288199999999998</v>
      </c>
      <c r="J36" s="183">
        <v>0.49418850000000003</v>
      </c>
      <c r="K36" s="182">
        <f>H36*J36</f>
        <v>1284890.1000000001</v>
      </c>
      <c r="L36" s="175">
        <f t="shared" si="0"/>
        <v>8.6263576094204403E-2</v>
      </c>
      <c r="M36" s="170">
        <f>_xlfn.IFS(L36&lt;=5%,1,AND(L36&gt;5%,L36&lt;=15%),2,AND(L36&gt;15%,L36&lt;=30%),3,AND(L36&gt;30%,L36&lt;=50%),4,L36&gt;50%,5)</f>
        <v>2</v>
      </c>
      <c r="N36" s="184"/>
      <c r="O36" s="191">
        <f>J36*P36</f>
        <v>0.49418850000000003</v>
      </c>
      <c r="P36" s="192">
        <v>1</v>
      </c>
      <c r="Q36" s="170">
        <f>_xlfn.IFS(P36&lt;=5%,1,AND(P36&gt;5%,P36&lt;=15%),2,AND(P36&gt;15%,P36&lt;=30%),3,AND(P36&gt;30%,P36&lt;=50%),4,P36&gt;50%,5)</f>
        <v>5</v>
      </c>
      <c r="R36" s="191">
        <f>J36-O36</f>
        <v>0</v>
      </c>
      <c r="S36" s="192">
        <f>R36/J36</f>
        <v>0</v>
      </c>
      <c r="T36" s="170">
        <f>_xlfn.IFS(S36&lt;=5%,1,AND(S36&gt;5%,S36&lt;=15%),2,AND(S36&gt;15%,S36&lt;=30%),3,AND(S36&gt;30%,S36&lt;=50%),4,S36&gt;50%,5)</f>
        <v>1</v>
      </c>
      <c r="U36" s="193">
        <f>AVERAGE(Q36,T36)</f>
        <v>3</v>
      </c>
      <c r="V36" s="184"/>
      <c r="W36" s="193">
        <f>AVERAGE(M36,U36)</f>
        <v>2.5</v>
      </c>
      <c r="X36" s="170" t="str">
        <f>_xlfn.IFS(AND(W36&gt;4,W36&lt;=5),"VERY HIGH",AND(W36&gt;3,W36&lt;=4),"HIGH",AND(W36&gt;2,W36&lt;=3),"MODERATE",AND(W36&gt;1,W36&lt;=2),"LOW",W36&lt;=1,"VERY LOW")</f>
        <v>MODERATE</v>
      </c>
      <c r="Y36" s="194" t="s">
        <v>90</v>
      </c>
      <c r="Z36" s="170">
        <v>4</v>
      </c>
      <c r="AA36" s="194" t="s">
        <v>91</v>
      </c>
      <c r="AB36" s="170">
        <v>2</v>
      </c>
      <c r="AC36" s="194" t="s">
        <v>92</v>
      </c>
      <c r="AD36" s="170">
        <v>4</v>
      </c>
      <c r="AE36" s="194" t="s">
        <v>93</v>
      </c>
      <c r="AF36" s="170">
        <v>4</v>
      </c>
      <c r="AG36" s="194" t="s">
        <v>89</v>
      </c>
      <c r="AH36" s="170">
        <v>4</v>
      </c>
      <c r="AI36" s="194" t="s">
        <v>88</v>
      </c>
      <c r="AJ36" s="170">
        <v>4</v>
      </c>
      <c r="AK36" s="193">
        <f>AVERAGE(Z36,AB36,AD36,AF36,AH36,AJ36)</f>
        <v>3.6666666666666665</v>
      </c>
      <c r="AL36" s="184"/>
      <c r="AM36" s="193">
        <f>W36/AK36</f>
        <v>0.68181818181818188</v>
      </c>
      <c r="AN36" s="170" t="str">
        <f>_xlfn.IFS(AM36&lt;=1,"LOW",AND(AM36&gt;1,AM36&lt;=2),"MEDIUM LOW",AND(AM36&gt;2,AM36&lt;=3),"MEDIUM",AND(AM36&gt;3,AM36&lt;=4),"MEDIUM HIGH",AND(AM36&gt;4,AM36&lt;=5),"HIGH")</f>
        <v>LOW</v>
      </c>
      <c r="AO36" s="170">
        <v>1</v>
      </c>
      <c r="AP36" s="170">
        <f>AO36*C36</f>
        <v>6</v>
      </c>
      <c r="AQ36" s="170" t="str">
        <f>_xlfn.IFS(AP36&lt;=5,"LOW RISK",AND(AP36&gt;5,AP36&lt;=12),"MODERATE RISK",AP36&gt;12,"HIGH RISK")</f>
        <v>MODERATE RISK</v>
      </c>
    </row>
    <row r="37" spans="1:43" s="177" customFormat="1" ht="56.25">
      <c r="A37" s="178"/>
      <c r="B37" s="87" t="s">
        <v>230</v>
      </c>
      <c r="C37" s="87">
        <v>6</v>
      </c>
      <c r="D37" s="179"/>
      <c r="E37" s="170" t="s">
        <v>315</v>
      </c>
      <c r="F37" s="180" t="s">
        <v>41</v>
      </c>
      <c r="G37" s="181" t="s">
        <v>301</v>
      </c>
      <c r="H37" s="182">
        <f>_xlfn.IFS(G37="Barangay road
City road",CEILING(2600000*1,1000),G37="Barangay road
City road
National road",CEILING(2600000*2,1000),G37="Barangay road
National road",CEILING(2600000*2,1000),G37="Barangay road",CEILING(2600000*1,1000),G37="City road",CEILING(2600000*1,1000),G37="Barangay road
City road",CEILING(2600000*1,1000),G37="National road",CEILING(2600000*2,1000),G37="Barangay road
NIA
Provincial road",CEILING(2600000*1,1000),G37="Barangay road
NIA
National road",CEILING(2600000*2,1000),G37="Barangay road
Private road
Provincial road",CEILING(2600000*1,1000),G37="Barangay road
Private road
Provincial road
National road",CEILING(2600000*2,1000),G37="Barangay road
NIA
National road
Provincial road",CEILING(2600000*2,1000),G37="Barangay road
Provincial road",CEILING(2600000*1,1000),G37="Barangay road
City road
National road
Provincial road",CEILING(2600000*2,1000),G37="Barangay road
National road
Provincial road",CEILING(2600000*2,1000))</f>
        <v>5200000</v>
      </c>
      <c r="I37" s="204">
        <v>34.581380000000003</v>
      </c>
      <c r="J37" s="183">
        <v>34.581425100000004</v>
      </c>
      <c r="K37" s="182">
        <f>H37*J37</f>
        <v>179823410.52000001</v>
      </c>
      <c r="L37" s="175">
        <f t="shared" si="0"/>
        <v>1.0000013041700475</v>
      </c>
      <c r="M37" s="170">
        <f>_xlfn.IFS(L37&lt;=5%,1,AND(L37&gt;5%,L37&lt;=15%),2,AND(L37&gt;15%,L37&lt;=30%),3,AND(L37&gt;30%,L37&lt;=50%),4,L37&gt;50%,5)</f>
        <v>5</v>
      </c>
      <c r="N37" s="184"/>
      <c r="O37" s="90">
        <f>J37*P37</f>
        <v>5.6886444289500009</v>
      </c>
      <c r="P37" s="176">
        <v>0.16450000000000001</v>
      </c>
      <c r="Q37" s="87">
        <f>_xlfn.IFS(P37&lt;=5%,1,AND(P37&gt;5%,P37&lt;=15%),2,AND(P37&gt;15%,P37&lt;=30%),3,AND(P37&gt;30%,P37&lt;=50%),4,P37&gt;50%,5)</f>
        <v>3</v>
      </c>
      <c r="R37" s="90">
        <f>J37-O37</f>
        <v>28.892780671050005</v>
      </c>
      <c r="S37" s="176">
        <f>R37/J37</f>
        <v>0.83550000000000002</v>
      </c>
      <c r="T37" s="87">
        <f>_xlfn.IFS(S37&lt;=5%,1,AND(S37&gt;5%,S37&lt;=15%),2,AND(S37&gt;15%,S37&lt;=30%),3,AND(S37&gt;30%,S37&lt;=50%),4,S37&gt;50%,5)</f>
        <v>5</v>
      </c>
      <c r="U37" s="89">
        <f>AVERAGE(Q37,T37)</f>
        <v>4</v>
      </c>
      <c r="V37" s="179"/>
      <c r="W37" s="89">
        <f>AVERAGE(M37,U37)</f>
        <v>4.5</v>
      </c>
      <c r="X37" s="87" t="str">
        <f>_xlfn.IFS(AND(W37&gt;4,W37&lt;=5),"VERY HIGH",AND(W37&gt;3,W37&lt;=4),"HIGH",AND(W37&gt;2,W37&lt;=3),"MODERATE",AND(W37&gt;1,W37&lt;=2),"LOW",W37&lt;=1,"VERY LOW")</f>
        <v>VERY HIGH</v>
      </c>
      <c r="Y37" s="88" t="s">
        <v>90</v>
      </c>
      <c r="Z37" s="87">
        <v>4</v>
      </c>
      <c r="AA37" s="88" t="s">
        <v>91</v>
      </c>
      <c r="AB37" s="87">
        <v>2</v>
      </c>
      <c r="AC37" s="88" t="s">
        <v>92</v>
      </c>
      <c r="AD37" s="87">
        <v>4</v>
      </c>
      <c r="AE37" s="88" t="s">
        <v>93</v>
      </c>
      <c r="AF37" s="87">
        <v>4</v>
      </c>
      <c r="AG37" s="88" t="s">
        <v>89</v>
      </c>
      <c r="AH37" s="87">
        <v>4</v>
      </c>
      <c r="AI37" s="88" t="s">
        <v>88</v>
      </c>
      <c r="AJ37" s="87">
        <v>4</v>
      </c>
      <c r="AK37" s="89">
        <f>AVERAGE(Z37,AB37,AD37,AF37,AH37,AJ37)</f>
        <v>3.6666666666666665</v>
      </c>
      <c r="AL37" s="179"/>
      <c r="AM37" s="89">
        <f>W37/AK37</f>
        <v>1.2272727272727273</v>
      </c>
      <c r="AN37" s="87" t="str">
        <f>_xlfn.IFS(AM37&lt;=1,"LOW",AND(AM37&gt;1,AM37&lt;=2),"MEDIUM LOW",AND(AM37&gt;2,AM37&lt;=3),"MEDIUM",AND(AM37&gt;3,AM37&lt;=4),"MEDIUM HIGH",AND(AM37&gt;4,AM37&lt;=5),"HIGH")</f>
        <v>MEDIUM LOW</v>
      </c>
      <c r="AO37" s="87">
        <v>1</v>
      </c>
      <c r="AP37" s="87">
        <f>AO37*C37</f>
        <v>6</v>
      </c>
      <c r="AQ37" s="87" t="str">
        <f>_xlfn.IFS(AP37&lt;=5,"LOW RISK",AND(AP37&gt;5,AP37&lt;=12),"MODERATE RISK",AP37&gt;12,"HIGH RISK")</f>
        <v>MODERATE RISK</v>
      </c>
    </row>
    <row r="38" spans="1:43" s="196" customFormat="1" ht="56.25">
      <c r="A38" s="195"/>
      <c r="B38" s="170" t="s">
        <v>230</v>
      </c>
      <c r="C38" s="170">
        <v>6</v>
      </c>
      <c r="D38" s="184"/>
      <c r="E38" s="170" t="s">
        <v>316</v>
      </c>
      <c r="F38" s="180" t="s">
        <v>42</v>
      </c>
      <c r="G38" s="181" t="s">
        <v>308</v>
      </c>
      <c r="H38" s="182">
        <f>_xlfn.IFS(G38="Barangay road
City road",CEILING(2600000*1,1000),G38="Barangay road
City road
National road",CEILING(2600000*2,1000),G38="Barangay road
National road",CEILING(2600000*2,1000),G38="Barangay road",CEILING(2600000*1,1000),G38="City road",CEILING(2600000*1,1000),G38="Barangay road
City road",CEILING(2600000*1,1000),G38="National road",CEILING(2600000*2,1000),G38="Barangay road
NIA
Provincial road",CEILING(2600000*1,1000),G38="Barangay road
NIA
National road",CEILING(2600000*2,1000),G38="Barangay road
Private road
Provincial road",CEILING(2600000*1,1000),G38="Barangay road
Private road
Provincial road
National road",CEILING(2600000*2,1000),G38="Barangay road
NIA
National road
Provincial road",CEILING(2600000*2,1000),G38="Barangay road
Provincial road",CEILING(2600000*1,1000),G38="Barangay road
City road
National road
Provincial road",CEILING(2600000*2,1000),G38="Barangay road
National road
Provincial road",CEILING(2600000*2,1000))</f>
        <v>5200000</v>
      </c>
      <c r="I38" s="204">
        <v>16.250083199999999</v>
      </c>
      <c r="J38" s="183">
        <v>2.0332550599999997</v>
      </c>
      <c r="K38" s="182">
        <f>H38*J38</f>
        <v>10572926.311999999</v>
      </c>
      <c r="L38" s="175">
        <f t="shared" si="0"/>
        <v>0.12512274767922418</v>
      </c>
      <c r="M38" s="170">
        <f>_xlfn.IFS(L38&lt;=5%,1,AND(L38&gt;5%,L38&lt;=15%),2,AND(L38&gt;15%,L38&lt;=30%),3,AND(L38&gt;30%,L38&lt;=50%),4,L38&gt;50%,5)</f>
        <v>2</v>
      </c>
      <c r="N38" s="184"/>
      <c r="O38" s="191">
        <f>J38*P38</f>
        <v>1.0091044862779999</v>
      </c>
      <c r="P38" s="192">
        <v>0.49630000000000002</v>
      </c>
      <c r="Q38" s="170">
        <f>_xlfn.IFS(P38&lt;=5%,1,AND(P38&gt;5%,P38&lt;=15%),2,AND(P38&gt;15%,P38&lt;=30%),3,AND(P38&gt;30%,P38&lt;=50%),4,P38&gt;50%,5)</f>
        <v>4</v>
      </c>
      <c r="R38" s="191">
        <f>J38-O38</f>
        <v>1.0241505737219998</v>
      </c>
      <c r="S38" s="192">
        <f>R38/J38</f>
        <v>0.50370000000000004</v>
      </c>
      <c r="T38" s="170">
        <f>_xlfn.IFS(S38&lt;=5%,1,AND(S38&gt;5%,S38&lt;=15%),2,AND(S38&gt;15%,S38&lt;=30%),3,AND(S38&gt;30%,S38&lt;=50%),4,S38&gt;50%,5)</f>
        <v>5</v>
      </c>
      <c r="U38" s="193">
        <f>AVERAGE(Q38,T38)</f>
        <v>4.5</v>
      </c>
      <c r="V38" s="184"/>
      <c r="W38" s="193">
        <f>AVERAGE(M38,U38)</f>
        <v>3.25</v>
      </c>
      <c r="X38" s="170" t="str">
        <f>_xlfn.IFS(AND(W38&gt;4,W38&lt;=5),"VERY HIGH",AND(W38&gt;3,W38&lt;=4),"HIGH",AND(W38&gt;2,W38&lt;=3),"MODERATE",AND(W38&gt;1,W38&lt;=2),"LOW",W38&lt;=1,"VERY LOW")</f>
        <v>HIGH</v>
      </c>
      <c r="Y38" s="194" t="s">
        <v>90</v>
      </c>
      <c r="Z38" s="170">
        <v>4</v>
      </c>
      <c r="AA38" s="194" t="s">
        <v>91</v>
      </c>
      <c r="AB38" s="170">
        <v>2</v>
      </c>
      <c r="AC38" s="194" t="s">
        <v>92</v>
      </c>
      <c r="AD38" s="170">
        <v>4</v>
      </c>
      <c r="AE38" s="194" t="s">
        <v>93</v>
      </c>
      <c r="AF38" s="170">
        <v>4</v>
      </c>
      <c r="AG38" s="194" t="s">
        <v>89</v>
      </c>
      <c r="AH38" s="170">
        <v>4</v>
      </c>
      <c r="AI38" s="194" t="s">
        <v>88</v>
      </c>
      <c r="AJ38" s="170">
        <v>4</v>
      </c>
      <c r="AK38" s="193">
        <f>AVERAGE(Z38,AB38,AD38,AF38,AH38,AJ38)</f>
        <v>3.6666666666666665</v>
      </c>
      <c r="AL38" s="184"/>
      <c r="AM38" s="193">
        <f>W38/AK38</f>
        <v>0.88636363636363635</v>
      </c>
      <c r="AN38" s="170" t="str">
        <f>_xlfn.IFS(AM38&lt;=1,"LOW",AND(AM38&gt;1,AM38&lt;=2),"MEDIUM LOW",AND(AM38&gt;2,AM38&lt;=3),"MEDIUM",AND(AM38&gt;3,AM38&lt;=4),"MEDIUM HIGH",AND(AM38&gt;4,AM38&lt;=5),"HIGH")</f>
        <v>LOW</v>
      </c>
      <c r="AO38" s="170">
        <v>1</v>
      </c>
      <c r="AP38" s="170">
        <f>AO38*C38</f>
        <v>6</v>
      </c>
      <c r="AQ38" s="170" t="str">
        <f>_xlfn.IFS(AP38&lt;=5,"LOW RISK",AND(AP38&gt;5,AP38&lt;=12),"MODERATE RISK",AP38&gt;12,"HIGH RISK")</f>
        <v>MODERATE RISK</v>
      </c>
    </row>
    <row r="39" spans="1:43" s="196" customFormat="1" ht="56.25">
      <c r="A39" s="195"/>
      <c r="B39" s="170" t="s">
        <v>230</v>
      </c>
      <c r="C39" s="170">
        <v>6</v>
      </c>
      <c r="D39" s="184"/>
      <c r="E39" s="170" t="s">
        <v>316</v>
      </c>
      <c r="F39" s="180" t="s">
        <v>254</v>
      </c>
      <c r="G39" s="181" t="s">
        <v>309</v>
      </c>
      <c r="H39" s="182">
        <f>_xlfn.IFS(G39="Barangay road
City road",CEILING(2600000*1,1000),G39="Barangay road
City road
National road",CEILING(2600000*2,1000),G39="Barangay road
National road",CEILING(2600000*2,1000),G39="Barangay road",CEILING(2600000*1,1000),G39="City road",CEILING(2600000*1,1000),G39="Barangay road
City road",CEILING(2600000*1,1000),G39="National road",CEILING(2600000*2,1000),G39="Barangay road
NIA
Provincial road",CEILING(2600000*1,1000),G39="Barangay road
NIA
National road",CEILING(2600000*2,1000),G39="Barangay road
Private road
Provincial road",CEILING(2600000*1,1000),G39="Barangay road
Private road
Provincial road
National road",CEILING(2600000*2,1000),G39="Barangay road
NIA
National road
Provincial road",CEILING(2600000*2,1000),G39="Barangay road
Provincial road",CEILING(2600000*1,1000),G39="Barangay road
City road
National road
Provincial road",CEILING(2600000*2,1000),G39="Barangay road
National road
Provincial road",CEILING(2600000*2,1000))</f>
        <v>2600000</v>
      </c>
      <c r="I39" s="204">
        <v>36.836129999999997</v>
      </c>
      <c r="J39" s="183">
        <v>8.7609307000000012</v>
      </c>
      <c r="K39" s="182">
        <f>H39*J39</f>
        <v>22778419.820000004</v>
      </c>
      <c r="L39" s="175">
        <f t="shared" si="0"/>
        <v>0.23783526391073118</v>
      </c>
      <c r="M39" s="170">
        <f>_xlfn.IFS(L39&lt;=5%,1,AND(L39&gt;5%,L39&lt;=15%),2,AND(L39&gt;15%,L39&lt;=30%),3,AND(L39&gt;30%,L39&lt;=50%),4,L39&gt;50%,5)</f>
        <v>3</v>
      </c>
      <c r="N39" s="184"/>
      <c r="O39" s="191">
        <f>J39*P39</f>
        <v>0</v>
      </c>
      <c r="P39" s="192">
        <v>0</v>
      </c>
      <c r="Q39" s="170">
        <f>_xlfn.IFS(P39&lt;=5%,1,AND(P39&gt;5%,P39&lt;=15%),2,AND(P39&gt;15%,P39&lt;=30%),3,AND(P39&gt;30%,P39&lt;=50%),4,P39&gt;50%,5)</f>
        <v>1</v>
      </c>
      <c r="R39" s="191">
        <f>J39-O39</f>
        <v>8.7609307000000012</v>
      </c>
      <c r="S39" s="192">
        <f>R39/J39</f>
        <v>1</v>
      </c>
      <c r="T39" s="170">
        <f>_xlfn.IFS(S39&lt;=5%,1,AND(S39&gt;5%,S39&lt;=15%),2,AND(S39&gt;15%,S39&lt;=30%),3,AND(S39&gt;30%,S39&lt;=50%),4,S39&gt;50%,5)</f>
        <v>5</v>
      </c>
      <c r="U39" s="193">
        <f>AVERAGE(Q39,T39)</f>
        <v>3</v>
      </c>
      <c r="V39" s="184"/>
      <c r="W39" s="193">
        <f>AVERAGE(M39,U39)</f>
        <v>3</v>
      </c>
      <c r="X39" s="170" t="str">
        <f>_xlfn.IFS(AND(W39&gt;4,W39&lt;=5),"VERY HIGH",AND(W39&gt;3,W39&lt;=4),"HIGH",AND(W39&gt;2,W39&lt;=3),"MODERATE",AND(W39&gt;1,W39&lt;=2),"LOW",W39&lt;=1,"VERY LOW")</f>
        <v>MODERATE</v>
      </c>
      <c r="Y39" s="194" t="s">
        <v>90</v>
      </c>
      <c r="Z39" s="170">
        <v>4</v>
      </c>
      <c r="AA39" s="194" t="s">
        <v>91</v>
      </c>
      <c r="AB39" s="170">
        <v>2</v>
      </c>
      <c r="AC39" s="194" t="s">
        <v>92</v>
      </c>
      <c r="AD39" s="170">
        <v>4</v>
      </c>
      <c r="AE39" s="194" t="s">
        <v>93</v>
      </c>
      <c r="AF39" s="170">
        <v>4</v>
      </c>
      <c r="AG39" s="194" t="s">
        <v>89</v>
      </c>
      <c r="AH39" s="170">
        <v>4</v>
      </c>
      <c r="AI39" s="194" t="s">
        <v>88</v>
      </c>
      <c r="AJ39" s="170">
        <v>4</v>
      </c>
      <c r="AK39" s="193">
        <f>AVERAGE(Z39,AB39,AD39,AF39,AH39,AJ39)</f>
        <v>3.6666666666666665</v>
      </c>
      <c r="AL39" s="184"/>
      <c r="AM39" s="193">
        <f>W39/AK39</f>
        <v>0.81818181818181823</v>
      </c>
      <c r="AN39" s="170" t="str">
        <f>_xlfn.IFS(AM39&lt;=1,"LOW",AND(AM39&gt;1,AM39&lt;=2),"MEDIUM LOW",AND(AM39&gt;2,AM39&lt;=3),"MEDIUM",AND(AM39&gt;3,AM39&lt;=4),"MEDIUM HIGH",AND(AM39&gt;4,AM39&lt;=5),"HIGH")</f>
        <v>LOW</v>
      </c>
      <c r="AO39" s="170">
        <v>1</v>
      </c>
      <c r="AP39" s="170">
        <f>AO39*C39</f>
        <v>6</v>
      </c>
      <c r="AQ39" s="170" t="str">
        <f>_xlfn.IFS(AP39&lt;=5,"LOW RISK",AND(AP39&gt;5,AP39&lt;=12),"MODERATE RISK",AP39&gt;12,"HIGH RISK")</f>
        <v>MODERATE RISK</v>
      </c>
    </row>
    <row r="40" spans="1:43" s="196" customFormat="1" ht="56.25">
      <c r="A40" s="195"/>
      <c r="B40" s="170" t="s">
        <v>230</v>
      </c>
      <c r="C40" s="170">
        <v>6</v>
      </c>
      <c r="D40" s="184"/>
      <c r="E40" s="170" t="s">
        <v>318</v>
      </c>
      <c r="F40" s="180" t="s">
        <v>255</v>
      </c>
      <c r="G40" s="181" t="s">
        <v>300</v>
      </c>
      <c r="H40" s="182">
        <f>_xlfn.IFS(G40="Barangay road
City road",CEILING(2600000*1,1000),G40="Barangay road
City road
National road",CEILING(2600000*2,1000),G40="Barangay road
National road",CEILING(2600000*2,1000),G40="Barangay road",CEILING(2600000*1,1000),G40="City road",CEILING(2600000*1,1000),G40="Barangay road
City road",CEILING(2600000*1,1000),G40="National road",CEILING(2600000*2,1000),G40="Barangay road
NIA
Provincial road",CEILING(2600000*1,1000),G40="Barangay road
NIA
National road",CEILING(2600000*2,1000),G40="Barangay road
Private road
Provincial road",CEILING(2600000*1,1000),G40="Barangay road
Private road
Provincial road
National road",CEILING(2600000*2,1000),G40="Barangay road
NIA
National road
Provincial road",CEILING(2600000*2,1000),G40="Barangay road
Provincial road",CEILING(2600000*1,1000),G40="Barangay road
City road
National road
Provincial road",CEILING(2600000*2,1000),G40="Barangay road
National road
Provincial road",CEILING(2600000*2,1000))</f>
        <v>2600000</v>
      </c>
      <c r="I40" s="204">
        <v>5.5989100000000001</v>
      </c>
      <c r="J40" s="183">
        <v>5.598908999999999</v>
      </c>
      <c r="K40" s="182">
        <f>H40*J40</f>
        <v>14557163.399999997</v>
      </c>
      <c r="L40" s="175">
        <f t="shared" si="0"/>
        <v>0.99999982139380683</v>
      </c>
      <c r="M40" s="170">
        <f>_xlfn.IFS(L40&lt;=5%,1,AND(L40&gt;5%,L40&lt;=15%),2,AND(L40&gt;15%,L40&lt;=30%),3,AND(L40&gt;30%,L40&lt;=50%),4,L40&gt;50%,5)</f>
        <v>5</v>
      </c>
      <c r="N40" s="184"/>
      <c r="O40" s="90">
        <f>J40*P40</f>
        <v>1.7686953530999998</v>
      </c>
      <c r="P40" s="176">
        <v>0.31590000000000001</v>
      </c>
      <c r="Q40" s="87">
        <f>_xlfn.IFS(P40&lt;=5%,1,AND(P40&gt;5%,P40&lt;=15%),2,AND(P40&gt;15%,P40&lt;=30%),3,AND(P40&gt;30%,P40&lt;=50%),4,P40&gt;50%,5)</f>
        <v>4</v>
      </c>
      <c r="R40" s="90">
        <f>J40-O40</f>
        <v>3.830213646899999</v>
      </c>
      <c r="S40" s="176">
        <f>R40/J40</f>
        <v>0.68409999999999993</v>
      </c>
      <c r="T40" s="87">
        <f>_xlfn.IFS(S40&lt;=5%,1,AND(S40&gt;5%,S40&lt;=15%),2,AND(S40&gt;15%,S40&lt;=30%),3,AND(S40&gt;30%,S40&lt;=50%),4,S40&gt;50%,5)</f>
        <v>5</v>
      </c>
      <c r="U40" s="89">
        <f>AVERAGE(Q40,T40)</f>
        <v>4.5</v>
      </c>
      <c r="V40" s="179"/>
      <c r="W40" s="89">
        <f>AVERAGE(M40,U40)</f>
        <v>4.75</v>
      </c>
      <c r="X40" s="87" t="str">
        <f>_xlfn.IFS(AND(W40&gt;4,W40&lt;=5),"VERY HIGH",AND(W40&gt;3,W40&lt;=4),"HIGH",AND(W40&gt;2,W40&lt;=3),"MODERATE",AND(W40&gt;1,W40&lt;=2),"LOW",W40&lt;=1,"VERY LOW")</f>
        <v>VERY HIGH</v>
      </c>
      <c r="Y40" s="88" t="s">
        <v>90</v>
      </c>
      <c r="Z40" s="87">
        <v>4</v>
      </c>
      <c r="AA40" s="88" t="s">
        <v>91</v>
      </c>
      <c r="AB40" s="87">
        <v>2</v>
      </c>
      <c r="AC40" s="88" t="s">
        <v>92</v>
      </c>
      <c r="AD40" s="87">
        <v>4</v>
      </c>
      <c r="AE40" s="88" t="s">
        <v>93</v>
      </c>
      <c r="AF40" s="87">
        <v>4</v>
      </c>
      <c r="AG40" s="88" t="s">
        <v>89</v>
      </c>
      <c r="AH40" s="87">
        <v>4</v>
      </c>
      <c r="AI40" s="88" t="s">
        <v>88</v>
      </c>
      <c r="AJ40" s="87">
        <v>4</v>
      </c>
      <c r="AK40" s="89">
        <f>AVERAGE(Z40,AB40,AD40,AF40,AH40,AJ40)</f>
        <v>3.6666666666666665</v>
      </c>
      <c r="AL40" s="179"/>
      <c r="AM40" s="89">
        <f>W40/AK40</f>
        <v>1.2954545454545454</v>
      </c>
      <c r="AN40" s="87" t="str">
        <f>_xlfn.IFS(AM40&lt;=1,"LOW",AND(AM40&gt;1,AM40&lt;=2),"MEDIUM LOW",AND(AM40&gt;2,AM40&lt;=3),"MEDIUM",AND(AM40&gt;3,AM40&lt;=4),"MEDIUM HIGH",AND(AM40&gt;4,AM40&lt;=5),"HIGH")</f>
        <v>MEDIUM LOW</v>
      </c>
      <c r="AO40" s="87">
        <v>3</v>
      </c>
      <c r="AP40" s="87">
        <f>AO40*C40</f>
        <v>18</v>
      </c>
      <c r="AQ40" s="87" t="str">
        <f>_xlfn.IFS(AP40&lt;=5,"LOW RISK",AND(AP40&gt;5,AP40&lt;=12),"MODERATE RISK",AP40&gt;12,"HIGH RISK")</f>
        <v>HIGH RISK</v>
      </c>
    </row>
    <row r="41" spans="1:43" s="196" customFormat="1" ht="56.25">
      <c r="A41" s="195"/>
      <c r="B41" s="170" t="s">
        <v>230</v>
      </c>
      <c r="C41" s="170">
        <v>6</v>
      </c>
      <c r="D41" s="184"/>
      <c r="E41" s="170" t="s">
        <v>318</v>
      </c>
      <c r="F41" s="180" t="s">
        <v>256</v>
      </c>
      <c r="G41" s="181" t="s">
        <v>301</v>
      </c>
      <c r="H41" s="182">
        <f>_xlfn.IFS(G41="Barangay road
City road",CEILING(2600000*1,1000),G41="Barangay road
City road
National road",CEILING(2600000*2,1000),G41="Barangay road
National road",CEILING(2600000*2,1000),G41="Barangay road",CEILING(2600000*1,1000),G41="City road",CEILING(2600000*1,1000),G41="Barangay road
City road",CEILING(2600000*1,1000),G41="National road",CEILING(2600000*2,1000),G41="Barangay road
NIA
Provincial road",CEILING(2600000*1,1000),G41="Barangay road
NIA
National road",CEILING(2600000*2,1000),G41="Barangay road
Private road
Provincial road",CEILING(2600000*1,1000),G41="Barangay road
Private road
Provincial road
National road",CEILING(2600000*2,1000),G41="Barangay road
NIA
National road
Provincial road",CEILING(2600000*2,1000),G41="Barangay road
Provincial road",CEILING(2600000*1,1000),G41="Barangay road
City road
National road
Provincial road",CEILING(2600000*2,1000),G41="Barangay road
National road
Provincial road",CEILING(2600000*2,1000))</f>
        <v>5200000</v>
      </c>
      <c r="I41" s="204">
        <v>4.1097300000000008</v>
      </c>
      <c r="J41" s="183">
        <v>4.109723100000001</v>
      </c>
      <c r="K41" s="182">
        <f>H41*J41</f>
        <v>21370560.120000005</v>
      </c>
      <c r="L41" s="175">
        <f t="shared" si="0"/>
        <v>0.99999832105758779</v>
      </c>
      <c r="M41" s="170">
        <f>_xlfn.IFS(L41&lt;=5%,1,AND(L41&gt;5%,L41&lt;=15%),2,AND(L41&gt;15%,L41&lt;=30%),3,AND(L41&gt;30%,L41&lt;=50%),4,L41&gt;50%,5)</f>
        <v>5</v>
      </c>
      <c r="N41" s="184"/>
      <c r="O41" s="90">
        <f>J41*P41</f>
        <v>3.372438775860001</v>
      </c>
      <c r="P41" s="176">
        <v>0.8206</v>
      </c>
      <c r="Q41" s="87">
        <f>_xlfn.IFS(P41&lt;=5%,1,AND(P41&gt;5%,P41&lt;=15%),2,AND(P41&gt;15%,P41&lt;=30%),3,AND(P41&gt;30%,P41&lt;=50%),4,P41&gt;50%,5)</f>
        <v>5</v>
      </c>
      <c r="R41" s="90">
        <f>J41-O41</f>
        <v>0.73728432414</v>
      </c>
      <c r="S41" s="176">
        <f>R41/J41</f>
        <v>0.17939999999999995</v>
      </c>
      <c r="T41" s="87">
        <f>_xlfn.IFS(S41&lt;=5%,1,AND(S41&gt;5%,S41&lt;=15%),2,AND(S41&gt;15%,S41&lt;=30%),3,AND(S41&gt;30%,S41&lt;=50%),4,S41&gt;50%,5)</f>
        <v>3</v>
      </c>
      <c r="U41" s="89">
        <f>AVERAGE(Q41,T41)</f>
        <v>4</v>
      </c>
      <c r="V41" s="179"/>
      <c r="W41" s="89">
        <f>AVERAGE(M41,U41)</f>
        <v>4.5</v>
      </c>
      <c r="X41" s="87" t="str">
        <f>_xlfn.IFS(AND(W41&gt;4,W41&lt;=5),"VERY HIGH",AND(W41&gt;3,W41&lt;=4),"HIGH",AND(W41&gt;2,W41&lt;=3),"MODERATE",AND(W41&gt;1,W41&lt;=2),"LOW",W41&lt;=1,"VERY LOW")</f>
        <v>VERY HIGH</v>
      </c>
      <c r="Y41" s="88" t="s">
        <v>90</v>
      </c>
      <c r="Z41" s="87">
        <v>4</v>
      </c>
      <c r="AA41" s="88" t="s">
        <v>91</v>
      </c>
      <c r="AB41" s="87">
        <v>2</v>
      </c>
      <c r="AC41" s="88" t="s">
        <v>92</v>
      </c>
      <c r="AD41" s="87">
        <v>4</v>
      </c>
      <c r="AE41" s="88" t="s">
        <v>93</v>
      </c>
      <c r="AF41" s="87">
        <v>4</v>
      </c>
      <c r="AG41" s="88" t="s">
        <v>89</v>
      </c>
      <c r="AH41" s="87">
        <v>4</v>
      </c>
      <c r="AI41" s="88" t="s">
        <v>88</v>
      </c>
      <c r="AJ41" s="87">
        <v>4</v>
      </c>
      <c r="AK41" s="89">
        <f>AVERAGE(Z41,AB41,AD41,AF41,AH41,AJ41)</f>
        <v>3.6666666666666665</v>
      </c>
      <c r="AL41" s="179"/>
      <c r="AM41" s="89">
        <f>W41/AK41</f>
        <v>1.2272727272727273</v>
      </c>
      <c r="AN41" s="87" t="str">
        <f>_xlfn.IFS(AM41&lt;=1,"LOW",AND(AM41&gt;1,AM41&lt;=2),"MEDIUM LOW",AND(AM41&gt;2,AM41&lt;=3),"MEDIUM",AND(AM41&gt;3,AM41&lt;=4),"MEDIUM HIGH",AND(AM41&gt;4,AM41&lt;=5),"HIGH")</f>
        <v>MEDIUM LOW</v>
      </c>
      <c r="AO41" s="87">
        <v>3</v>
      </c>
      <c r="AP41" s="87">
        <f>AO41*C41</f>
        <v>18</v>
      </c>
      <c r="AQ41" s="87" t="str">
        <f>_xlfn.IFS(AP41&lt;=5,"LOW RISK",AND(AP41&gt;5,AP41&lt;=12),"MODERATE RISK",AP41&gt;12,"HIGH RISK")</f>
        <v>HIGH RISK</v>
      </c>
    </row>
    <row r="42" spans="1:43" s="196" customFormat="1" ht="56.25">
      <c r="A42" s="195"/>
      <c r="B42" s="170" t="s">
        <v>230</v>
      </c>
      <c r="C42" s="170">
        <v>6</v>
      </c>
      <c r="D42" s="184"/>
      <c r="E42" s="170" t="s">
        <v>318</v>
      </c>
      <c r="F42" s="180" t="s">
        <v>257</v>
      </c>
      <c r="G42" s="181" t="s">
        <v>301</v>
      </c>
      <c r="H42" s="182">
        <f>_xlfn.IFS(G42="Barangay road
City road",CEILING(2600000*1,1000),G42="Barangay road
City road
National road",CEILING(2600000*2,1000),G42="Barangay road
National road",CEILING(2600000*2,1000),G42="Barangay road",CEILING(2600000*1,1000),G42="City road",CEILING(2600000*1,1000),G42="Barangay road
City road",CEILING(2600000*1,1000),G42="National road",CEILING(2600000*2,1000),G42="Barangay road
NIA
Provincial road",CEILING(2600000*1,1000),G42="Barangay road
NIA
National road",CEILING(2600000*2,1000),G42="Barangay road
Private road
Provincial road",CEILING(2600000*1,1000),G42="Barangay road
Private road
Provincial road
National road",CEILING(2600000*2,1000),G42="Barangay road
NIA
National road
Provincial road",CEILING(2600000*2,1000),G42="Barangay road
Provincial road",CEILING(2600000*1,1000),G42="Barangay road
City road
National road
Provincial road",CEILING(2600000*2,1000),G42="Barangay road
National road
Provincial road",CEILING(2600000*2,1000))</f>
        <v>5200000</v>
      </c>
      <c r="I42" s="204">
        <v>7.825704</v>
      </c>
      <c r="J42" s="183">
        <v>7.8257067499999993</v>
      </c>
      <c r="K42" s="182">
        <f>H42*J42</f>
        <v>40693675.099999994</v>
      </c>
      <c r="L42" s="175">
        <f t="shared" si="0"/>
        <v>1.0000003514060842</v>
      </c>
      <c r="M42" s="170">
        <f>_xlfn.IFS(L42&lt;=5%,1,AND(L42&gt;5%,L42&lt;=15%),2,AND(L42&gt;15%,L42&lt;=30%),3,AND(L42&gt;30%,L42&lt;=50%),4,L42&gt;50%,5)</f>
        <v>5</v>
      </c>
      <c r="N42" s="184"/>
      <c r="O42" s="90">
        <f>J42*P42</f>
        <v>2.9135106230250001</v>
      </c>
      <c r="P42" s="176">
        <v>0.37230000000000002</v>
      </c>
      <c r="Q42" s="87">
        <f>_xlfn.IFS(P42&lt;=5%,1,AND(P42&gt;5%,P42&lt;=15%),2,AND(P42&gt;15%,P42&lt;=30%),3,AND(P42&gt;30%,P42&lt;=50%),4,P42&gt;50%,5)</f>
        <v>4</v>
      </c>
      <c r="R42" s="90">
        <f>J42-O42</f>
        <v>4.9121961269749992</v>
      </c>
      <c r="S42" s="176">
        <f>R42/J42</f>
        <v>0.62769999999999992</v>
      </c>
      <c r="T42" s="87">
        <f>_xlfn.IFS(S42&lt;=5%,1,AND(S42&gt;5%,S42&lt;=15%),2,AND(S42&gt;15%,S42&lt;=30%),3,AND(S42&gt;30%,S42&lt;=50%),4,S42&gt;50%,5)</f>
        <v>5</v>
      </c>
      <c r="U42" s="89">
        <f>AVERAGE(Q42,T42)</f>
        <v>4.5</v>
      </c>
      <c r="V42" s="179"/>
      <c r="W42" s="89">
        <f>AVERAGE(M42,U42)</f>
        <v>4.75</v>
      </c>
      <c r="X42" s="87" t="str">
        <f>_xlfn.IFS(AND(W42&gt;4,W42&lt;=5),"VERY HIGH",AND(W42&gt;3,W42&lt;=4),"HIGH",AND(W42&gt;2,W42&lt;=3),"MODERATE",AND(W42&gt;1,W42&lt;=2),"LOW",W42&lt;=1,"VERY LOW")</f>
        <v>VERY HIGH</v>
      </c>
      <c r="Y42" s="88" t="s">
        <v>90</v>
      </c>
      <c r="Z42" s="87">
        <v>4</v>
      </c>
      <c r="AA42" s="88" t="s">
        <v>91</v>
      </c>
      <c r="AB42" s="87">
        <v>2</v>
      </c>
      <c r="AC42" s="88" t="s">
        <v>92</v>
      </c>
      <c r="AD42" s="87">
        <v>4</v>
      </c>
      <c r="AE42" s="88" t="s">
        <v>93</v>
      </c>
      <c r="AF42" s="87">
        <v>4</v>
      </c>
      <c r="AG42" s="88" t="s">
        <v>89</v>
      </c>
      <c r="AH42" s="87">
        <v>4</v>
      </c>
      <c r="AI42" s="88" t="s">
        <v>88</v>
      </c>
      <c r="AJ42" s="87">
        <v>4</v>
      </c>
      <c r="AK42" s="89">
        <f>AVERAGE(Z42,AB42,AD42,AF42,AH42,AJ42)</f>
        <v>3.6666666666666665</v>
      </c>
      <c r="AL42" s="179"/>
      <c r="AM42" s="89">
        <f>W42/AK42</f>
        <v>1.2954545454545454</v>
      </c>
      <c r="AN42" s="87" t="str">
        <f>_xlfn.IFS(AM42&lt;=1,"LOW",AND(AM42&gt;1,AM42&lt;=2),"MEDIUM LOW",AND(AM42&gt;2,AM42&lt;=3),"MEDIUM",AND(AM42&gt;3,AM42&lt;=4),"MEDIUM HIGH",AND(AM42&gt;4,AM42&lt;=5),"HIGH")</f>
        <v>MEDIUM LOW</v>
      </c>
      <c r="AO42" s="87">
        <v>3</v>
      </c>
      <c r="AP42" s="87">
        <f>AO42*C42</f>
        <v>18</v>
      </c>
      <c r="AQ42" s="87" t="str">
        <f>_xlfn.IFS(AP42&lt;=5,"LOW RISK",AND(AP42&gt;5,AP42&lt;=12),"MODERATE RISK",AP42&gt;12,"HIGH RISK")</f>
        <v>HIGH RISK</v>
      </c>
    </row>
    <row r="43" spans="1:43" s="196" customFormat="1" ht="56.25">
      <c r="A43" s="195"/>
      <c r="B43" s="170" t="s">
        <v>230</v>
      </c>
      <c r="C43" s="170">
        <v>6</v>
      </c>
      <c r="D43" s="184"/>
      <c r="E43" s="170" t="s">
        <v>318</v>
      </c>
      <c r="F43" s="180" t="s">
        <v>258</v>
      </c>
      <c r="G43" s="181" t="s">
        <v>310</v>
      </c>
      <c r="H43" s="182">
        <f>_xlfn.IFS(G43="Barangay road
City road",CEILING(2600000*1,1000),G43="Barangay road
City road
National road",CEILING(2600000*2,1000),G43="Barangay road
National road",CEILING(2600000*2,1000),G43="Barangay road",CEILING(2600000*1,1000),G43="City road",CEILING(2600000*1,1000),G43="Barangay road
City road",CEILING(2600000*1,1000),G43="National road",CEILING(2600000*2,1000),G43="Barangay road
NIA
Provincial road",CEILING(2600000*1,1000),G43="Barangay road
NIA
National road",CEILING(2600000*2,1000),G43="Barangay road
Private road
Provincial road",CEILING(2600000*1,1000),G43="Barangay road
Private road
Provincial road
National road",CEILING(2600000*2,1000),G43="Barangay road
NIA
National road
Provincial road",CEILING(2600000*2,1000),G43="Barangay road
Provincial road",CEILING(2600000*1,1000),G43="Barangay road
City road
National road
Provincial road",CEILING(2600000*2,1000),G43="Barangay road
National road
Provincial road",CEILING(2600000*2,1000))</f>
        <v>2600000</v>
      </c>
      <c r="I43" s="204">
        <v>0.85608099999999998</v>
      </c>
      <c r="J43" s="183">
        <v>0.85608099999999998</v>
      </c>
      <c r="K43" s="182">
        <f>H43*J43</f>
        <v>2225810.6</v>
      </c>
      <c r="L43" s="175">
        <f t="shared" si="0"/>
        <v>1</v>
      </c>
      <c r="M43" s="170">
        <f>_xlfn.IFS(L43&lt;=5%,1,AND(L43&gt;5%,L43&lt;=15%),2,AND(L43&gt;15%,L43&lt;=30%),3,AND(L43&gt;30%,L43&lt;=50%),4,L43&gt;50%,5)</f>
        <v>5</v>
      </c>
      <c r="N43" s="184"/>
      <c r="O43" s="90">
        <f>J43*P43</f>
        <v>0.85608099999999998</v>
      </c>
      <c r="P43" s="176">
        <v>1</v>
      </c>
      <c r="Q43" s="87">
        <f>_xlfn.IFS(P43&lt;=5%,1,AND(P43&gt;5%,P43&lt;=15%),2,AND(P43&gt;15%,P43&lt;=30%),3,AND(P43&gt;30%,P43&lt;=50%),4,P43&gt;50%,5)</f>
        <v>5</v>
      </c>
      <c r="R43" s="90">
        <f>J43-O43</f>
        <v>0</v>
      </c>
      <c r="S43" s="176">
        <f>R43/J43</f>
        <v>0</v>
      </c>
      <c r="T43" s="87">
        <f>_xlfn.IFS(S43&lt;=5%,1,AND(S43&gt;5%,S43&lt;=15%),2,AND(S43&gt;15%,S43&lt;=30%),3,AND(S43&gt;30%,S43&lt;=50%),4,S43&gt;50%,5)</f>
        <v>1</v>
      </c>
      <c r="U43" s="89">
        <f>AVERAGE(Q43,T43)</f>
        <v>3</v>
      </c>
      <c r="V43" s="179"/>
      <c r="W43" s="89">
        <f>AVERAGE(M43,U43)</f>
        <v>4</v>
      </c>
      <c r="X43" s="87" t="str">
        <f>_xlfn.IFS(AND(W43&gt;4,W43&lt;=5),"VERY HIGH",AND(W43&gt;3,W43&lt;=4),"HIGH",AND(W43&gt;2,W43&lt;=3),"MODERATE",AND(W43&gt;1,W43&lt;=2),"LOW",W43&lt;=1,"VERY LOW")</f>
        <v>HIGH</v>
      </c>
      <c r="Y43" s="88" t="s">
        <v>90</v>
      </c>
      <c r="Z43" s="87">
        <v>4</v>
      </c>
      <c r="AA43" s="88" t="s">
        <v>91</v>
      </c>
      <c r="AB43" s="87">
        <v>2</v>
      </c>
      <c r="AC43" s="88" t="s">
        <v>92</v>
      </c>
      <c r="AD43" s="87">
        <v>4</v>
      </c>
      <c r="AE43" s="88" t="s">
        <v>93</v>
      </c>
      <c r="AF43" s="87">
        <v>4</v>
      </c>
      <c r="AG43" s="88" t="s">
        <v>89</v>
      </c>
      <c r="AH43" s="87">
        <v>4</v>
      </c>
      <c r="AI43" s="88" t="s">
        <v>88</v>
      </c>
      <c r="AJ43" s="87">
        <v>4</v>
      </c>
      <c r="AK43" s="89">
        <f>AVERAGE(Z43,AB43,AD43,AF43,AH43,AJ43)</f>
        <v>3.6666666666666665</v>
      </c>
      <c r="AL43" s="179"/>
      <c r="AM43" s="89">
        <f>W43/AK43</f>
        <v>1.0909090909090911</v>
      </c>
      <c r="AN43" s="87" t="str">
        <f>_xlfn.IFS(AM43&lt;=1,"LOW",AND(AM43&gt;1,AM43&lt;=2),"MEDIUM LOW",AND(AM43&gt;2,AM43&lt;=3),"MEDIUM",AND(AM43&gt;3,AM43&lt;=4),"MEDIUM HIGH",AND(AM43&gt;4,AM43&lt;=5),"HIGH")</f>
        <v>MEDIUM LOW</v>
      </c>
      <c r="AO43" s="87">
        <v>3</v>
      </c>
      <c r="AP43" s="87">
        <f>AO43*C43</f>
        <v>18</v>
      </c>
      <c r="AQ43" s="87" t="str">
        <f>_xlfn.IFS(AP43&lt;=5,"LOW RISK",AND(AP43&gt;5,AP43&lt;=12),"MODERATE RISK",AP43&gt;12,"HIGH RISK")</f>
        <v>HIGH RISK</v>
      </c>
    </row>
    <row r="44" spans="1:43" s="196" customFormat="1" ht="56.25">
      <c r="A44" s="195"/>
      <c r="B44" s="170" t="s">
        <v>230</v>
      </c>
      <c r="C44" s="170">
        <v>6</v>
      </c>
      <c r="D44" s="184"/>
      <c r="E44" s="170" t="s">
        <v>318</v>
      </c>
      <c r="F44" s="180" t="s">
        <v>259</v>
      </c>
      <c r="G44" s="181" t="s">
        <v>301</v>
      </c>
      <c r="H44" s="182">
        <f>_xlfn.IFS(G44="Barangay road
City road",CEILING(2600000*1,1000),G44="Barangay road
City road
National road",CEILING(2600000*2,1000),G44="Barangay road
National road",CEILING(2600000*2,1000),G44="Barangay road",CEILING(2600000*1,1000),G44="City road",CEILING(2600000*1,1000),G44="Barangay road
City road",CEILING(2600000*1,1000),G44="National road",CEILING(2600000*2,1000),G44="Barangay road
NIA
Provincial road",CEILING(2600000*1,1000),G44="Barangay road
NIA
National road",CEILING(2600000*2,1000),G44="Barangay road
Private road
Provincial road",CEILING(2600000*1,1000),G44="Barangay road
Private road
Provincial road
National road",CEILING(2600000*2,1000),G44="Barangay road
NIA
National road
Provincial road",CEILING(2600000*2,1000),G44="Barangay road
Provincial road",CEILING(2600000*1,1000),G44="Barangay road
City road
National road
Provincial road",CEILING(2600000*2,1000),G44="Barangay road
National road
Provincial road",CEILING(2600000*2,1000))</f>
        <v>5200000</v>
      </c>
      <c r="I44" s="204">
        <v>4.6444069999999993</v>
      </c>
      <c r="J44" s="183">
        <v>4.6444090000000005</v>
      </c>
      <c r="K44" s="182">
        <f>H44*J44</f>
        <v>24150926.800000001</v>
      </c>
      <c r="L44" s="175">
        <f t="shared" si="0"/>
        <v>1.0000004306254817</v>
      </c>
      <c r="M44" s="170">
        <f>_xlfn.IFS(L44&lt;=5%,1,AND(L44&gt;5%,L44&lt;=15%),2,AND(L44&gt;15%,L44&lt;=30%),3,AND(L44&gt;30%,L44&lt;=50%),4,L44&gt;50%,5)</f>
        <v>5</v>
      </c>
      <c r="N44" s="184"/>
      <c r="O44" s="90">
        <f>J44*P44</f>
        <v>2.3644686219000004</v>
      </c>
      <c r="P44" s="176">
        <v>0.5091</v>
      </c>
      <c r="Q44" s="87">
        <f>_xlfn.IFS(P44&lt;=5%,1,AND(P44&gt;5%,P44&lt;=15%),2,AND(P44&gt;15%,P44&lt;=30%),3,AND(P44&gt;30%,P44&lt;=50%),4,P44&gt;50%,5)</f>
        <v>5</v>
      </c>
      <c r="R44" s="90">
        <f>J44-O44</f>
        <v>2.2799403781000001</v>
      </c>
      <c r="S44" s="176">
        <f>R44/J44</f>
        <v>0.49089999999999995</v>
      </c>
      <c r="T44" s="87">
        <f>_xlfn.IFS(S44&lt;=5%,1,AND(S44&gt;5%,S44&lt;=15%),2,AND(S44&gt;15%,S44&lt;=30%),3,AND(S44&gt;30%,S44&lt;=50%),4,S44&gt;50%,5)</f>
        <v>4</v>
      </c>
      <c r="U44" s="89">
        <f>AVERAGE(Q44,T44)</f>
        <v>4.5</v>
      </c>
      <c r="V44" s="179"/>
      <c r="W44" s="89">
        <f>AVERAGE(M44,U44)</f>
        <v>4.75</v>
      </c>
      <c r="X44" s="87" t="str">
        <f>_xlfn.IFS(AND(W44&gt;4,W44&lt;=5),"VERY HIGH",AND(W44&gt;3,W44&lt;=4),"HIGH",AND(W44&gt;2,W44&lt;=3),"MODERATE",AND(W44&gt;1,W44&lt;=2),"LOW",W44&lt;=1,"VERY LOW")</f>
        <v>VERY HIGH</v>
      </c>
      <c r="Y44" s="88" t="s">
        <v>90</v>
      </c>
      <c r="Z44" s="87">
        <v>4</v>
      </c>
      <c r="AA44" s="88" t="s">
        <v>91</v>
      </c>
      <c r="AB44" s="87">
        <v>2</v>
      </c>
      <c r="AC44" s="88" t="s">
        <v>92</v>
      </c>
      <c r="AD44" s="87">
        <v>4</v>
      </c>
      <c r="AE44" s="88" t="s">
        <v>93</v>
      </c>
      <c r="AF44" s="87">
        <v>4</v>
      </c>
      <c r="AG44" s="88" t="s">
        <v>89</v>
      </c>
      <c r="AH44" s="87">
        <v>4</v>
      </c>
      <c r="AI44" s="88" t="s">
        <v>88</v>
      </c>
      <c r="AJ44" s="87">
        <v>4</v>
      </c>
      <c r="AK44" s="89">
        <f>AVERAGE(Z44,AB44,AD44,AF44,AH44,AJ44)</f>
        <v>3.6666666666666665</v>
      </c>
      <c r="AL44" s="179"/>
      <c r="AM44" s="89">
        <f>W44/AK44</f>
        <v>1.2954545454545454</v>
      </c>
      <c r="AN44" s="87" t="str">
        <f>_xlfn.IFS(AM44&lt;=1,"LOW",AND(AM44&gt;1,AM44&lt;=2),"MEDIUM LOW",AND(AM44&gt;2,AM44&lt;=3),"MEDIUM",AND(AM44&gt;3,AM44&lt;=4),"MEDIUM HIGH",AND(AM44&gt;4,AM44&lt;=5),"HIGH")</f>
        <v>MEDIUM LOW</v>
      </c>
      <c r="AO44" s="87">
        <v>3</v>
      </c>
      <c r="AP44" s="87">
        <f>AO44*C44</f>
        <v>18</v>
      </c>
      <c r="AQ44" s="87" t="str">
        <f>_xlfn.IFS(AP44&lt;=5,"LOW RISK",AND(AP44&gt;5,AP44&lt;=12),"MODERATE RISK",AP44&gt;12,"HIGH RISK")</f>
        <v>HIGH RISK</v>
      </c>
    </row>
    <row r="45" spans="1:43" s="196" customFormat="1" ht="56.25">
      <c r="A45" s="195"/>
      <c r="B45" s="170" t="s">
        <v>230</v>
      </c>
      <c r="C45" s="170">
        <v>6</v>
      </c>
      <c r="D45" s="184"/>
      <c r="E45" s="170" t="s">
        <v>318</v>
      </c>
      <c r="F45" s="180" t="s">
        <v>260</v>
      </c>
      <c r="G45" s="181" t="s">
        <v>300</v>
      </c>
      <c r="H45" s="182">
        <f>_xlfn.IFS(G45="Barangay road
City road",CEILING(2600000*1,1000),G45="Barangay road
City road
National road",CEILING(2600000*2,1000),G45="Barangay road
National road",CEILING(2600000*2,1000),G45="Barangay road",CEILING(2600000*1,1000),G45="City road",CEILING(2600000*1,1000),G45="Barangay road
City road",CEILING(2600000*1,1000),G45="National road",CEILING(2600000*2,1000),G45="Barangay road
NIA
Provincial road",CEILING(2600000*1,1000),G45="Barangay road
NIA
National road",CEILING(2600000*2,1000),G45="Barangay road
Private road
Provincial road",CEILING(2600000*1,1000),G45="Barangay road
Private road
Provincial road
National road",CEILING(2600000*2,1000),G45="Barangay road
NIA
National road
Provincial road",CEILING(2600000*2,1000),G45="Barangay road
Provincial road",CEILING(2600000*1,1000),G45="Barangay road
City road
National road
Provincial road",CEILING(2600000*2,1000),G45="Barangay road
National road
Provincial road",CEILING(2600000*2,1000))</f>
        <v>2600000</v>
      </c>
      <c r="I45" s="204">
        <v>11.300230000000001</v>
      </c>
      <c r="J45" s="183">
        <v>11.300229999999999</v>
      </c>
      <c r="K45" s="182">
        <f>H45*J45</f>
        <v>29380597.999999996</v>
      </c>
      <c r="L45" s="175">
        <f t="shared" si="0"/>
        <v>0.99999999999999989</v>
      </c>
      <c r="M45" s="170">
        <f>_xlfn.IFS(L45&lt;=5%,1,AND(L45&gt;5%,L45&lt;=15%),2,AND(L45&gt;15%,L45&lt;=30%),3,AND(L45&gt;30%,L45&lt;=50%),4,L45&gt;50%,5)</f>
        <v>5</v>
      </c>
      <c r="N45" s="184"/>
      <c r="O45" s="90">
        <f>J45*P45</f>
        <v>6.6626156079999994</v>
      </c>
      <c r="P45" s="176">
        <v>0.58960000000000001</v>
      </c>
      <c r="Q45" s="87">
        <f>_xlfn.IFS(P45&lt;=5%,1,AND(P45&gt;5%,P45&lt;=15%),2,AND(P45&gt;15%,P45&lt;=30%),3,AND(P45&gt;30%,P45&lt;=50%),4,P45&gt;50%,5)</f>
        <v>5</v>
      </c>
      <c r="R45" s="90">
        <f>J45-O45</f>
        <v>4.6376143919999997</v>
      </c>
      <c r="S45" s="176">
        <f>R45/J45</f>
        <v>0.41039999999999999</v>
      </c>
      <c r="T45" s="87">
        <f>_xlfn.IFS(S45&lt;=5%,1,AND(S45&gt;5%,S45&lt;=15%),2,AND(S45&gt;15%,S45&lt;=30%),3,AND(S45&gt;30%,S45&lt;=50%),4,S45&gt;50%,5)</f>
        <v>4</v>
      </c>
      <c r="U45" s="89">
        <f>AVERAGE(Q45,T45)</f>
        <v>4.5</v>
      </c>
      <c r="V45" s="179"/>
      <c r="W45" s="89">
        <f>AVERAGE(M45,U45)</f>
        <v>4.75</v>
      </c>
      <c r="X45" s="87" t="str">
        <f>_xlfn.IFS(AND(W45&gt;4,W45&lt;=5),"VERY HIGH",AND(W45&gt;3,W45&lt;=4),"HIGH",AND(W45&gt;2,W45&lt;=3),"MODERATE",AND(W45&gt;1,W45&lt;=2),"LOW",W45&lt;=1,"VERY LOW")</f>
        <v>VERY HIGH</v>
      </c>
      <c r="Y45" s="88" t="s">
        <v>90</v>
      </c>
      <c r="Z45" s="87">
        <v>4</v>
      </c>
      <c r="AA45" s="88" t="s">
        <v>91</v>
      </c>
      <c r="AB45" s="87">
        <v>2</v>
      </c>
      <c r="AC45" s="88" t="s">
        <v>92</v>
      </c>
      <c r="AD45" s="87">
        <v>4</v>
      </c>
      <c r="AE45" s="88" t="s">
        <v>93</v>
      </c>
      <c r="AF45" s="87">
        <v>4</v>
      </c>
      <c r="AG45" s="88" t="s">
        <v>89</v>
      </c>
      <c r="AH45" s="87">
        <v>4</v>
      </c>
      <c r="AI45" s="88" t="s">
        <v>88</v>
      </c>
      <c r="AJ45" s="87">
        <v>4</v>
      </c>
      <c r="AK45" s="89">
        <f>AVERAGE(Z45,AB45,AD45,AF45,AH45,AJ45)</f>
        <v>3.6666666666666665</v>
      </c>
      <c r="AL45" s="179"/>
      <c r="AM45" s="89">
        <f>W45/AK45</f>
        <v>1.2954545454545454</v>
      </c>
      <c r="AN45" s="87" t="str">
        <f>_xlfn.IFS(AM45&lt;=1,"LOW",AND(AM45&gt;1,AM45&lt;=2),"MEDIUM LOW",AND(AM45&gt;2,AM45&lt;=3),"MEDIUM",AND(AM45&gt;3,AM45&lt;=4),"MEDIUM HIGH",AND(AM45&gt;4,AM45&lt;=5),"HIGH")</f>
        <v>MEDIUM LOW</v>
      </c>
      <c r="AO45" s="87">
        <v>3</v>
      </c>
      <c r="AP45" s="87">
        <f>AO45*C45</f>
        <v>18</v>
      </c>
      <c r="AQ45" s="87" t="str">
        <f>_xlfn.IFS(AP45&lt;=5,"LOW RISK",AND(AP45&gt;5,AP45&lt;=12),"MODERATE RISK",AP45&gt;12,"HIGH RISK")</f>
        <v>HIGH RISK</v>
      </c>
    </row>
    <row r="46" spans="1:43" s="196" customFormat="1" ht="56.25">
      <c r="A46" s="195"/>
      <c r="B46" s="170" t="s">
        <v>230</v>
      </c>
      <c r="C46" s="170">
        <v>6</v>
      </c>
      <c r="D46" s="184"/>
      <c r="E46" s="170" t="s">
        <v>315</v>
      </c>
      <c r="F46" s="180" t="s">
        <v>261</v>
      </c>
      <c r="G46" s="181" t="s">
        <v>302</v>
      </c>
      <c r="H46" s="182">
        <f>_xlfn.IFS(G46="Barangay road
City road",CEILING(2600000*1,1000),G46="Barangay road
City road
National road",CEILING(2600000*2,1000),G46="Barangay road
National road",CEILING(2600000*2,1000),G46="Barangay road",CEILING(2600000*1,1000),G46="City road",CEILING(2600000*1,1000),G46="Barangay road
City road",CEILING(2600000*1,1000),G46="National road",CEILING(2600000*2,1000),G46="Barangay road
NIA
Provincial road",CEILING(2600000*1,1000),G46="Barangay road
NIA
National road",CEILING(2600000*2,1000),G46="Barangay road
Private road
Provincial road",CEILING(2600000*1,1000),G46="Barangay road
Private road
Provincial road
National road",CEILING(2600000*2,1000),G46="Barangay road
NIA
National road
Provincial road",CEILING(2600000*2,1000),G46="Barangay road
Provincial road",CEILING(2600000*1,1000),G46="Barangay road
City road
National road
Provincial road",CEILING(2600000*2,1000),G46="Barangay road
National road
Provincial road",CEILING(2600000*2,1000))</f>
        <v>5200000</v>
      </c>
      <c r="I46" s="204">
        <v>15.10915</v>
      </c>
      <c r="J46" s="183">
        <v>11.074216999999999</v>
      </c>
      <c r="K46" s="182">
        <f>H46*J46</f>
        <v>57585928.399999999</v>
      </c>
      <c r="L46" s="175">
        <f t="shared" si="0"/>
        <v>0.73294771711181628</v>
      </c>
      <c r="M46" s="170">
        <f>_xlfn.IFS(L46&lt;=5%,1,AND(L46&gt;5%,L46&lt;=15%),2,AND(L46&gt;15%,L46&lt;=30%),3,AND(L46&gt;30%,L46&lt;=50%),4,L46&gt;50%,5)</f>
        <v>5</v>
      </c>
      <c r="N46" s="184"/>
      <c r="O46" s="90">
        <f>J46*P46</f>
        <v>3.3222650999999996</v>
      </c>
      <c r="P46" s="176">
        <v>0.3</v>
      </c>
      <c r="Q46" s="87">
        <f>_xlfn.IFS(P46&lt;=5%,1,AND(P46&gt;5%,P46&lt;=15%),2,AND(P46&gt;15%,P46&lt;=30%),3,AND(P46&gt;30%,P46&lt;=50%),4,P46&gt;50%,5)</f>
        <v>3</v>
      </c>
      <c r="R46" s="90">
        <f>J46-O46</f>
        <v>7.7519518999999999</v>
      </c>
      <c r="S46" s="176">
        <f>R46/J46</f>
        <v>0.70000000000000007</v>
      </c>
      <c r="T46" s="87">
        <f>_xlfn.IFS(S46&lt;=5%,1,AND(S46&gt;5%,S46&lt;=15%),2,AND(S46&gt;15%,S46&lt;=30%),3,AND(S46&gt;30%,S46&lt;=50%),4,S46&gt;50%,5)</f>
        <v>5</v>
      </c>
      <c r="U46" s="89">
        <f>AVERAGE(Q46,T46)</f>
        <v>4</v>
      </c>
      <c r="V46" s="179"/>
      <c r="W46" s="89">
        <f>AVERAGE(M46,U46)</f>
        <v>4.5</v>
      </c>
      <c r="X46" s="87" t="str">
        <f>_xlfn.IFS(AND(W46&gt;4,W46&lt;=5),"VERY HIGH",AND(W46&gt;3,W46&lt;=4),"HIGH",AND(W46&gt;2,W46&lt;=3),"MODERATE",AND(W46&gt;1,W46&lt;=2),"LOW",W46&lt;=1,"VERY LOW")</f>
        <v>VERY HIGH</v>
      </c>
      <c r="Y46" s="88" t="s">
        <v>90</v>
      </c>
      <c r="Z46" s="87">
        <v>4</v>
      </c>
      <c r="AA46" s="88" t="s">
        <v>91</v>
      </c>
      <c r="AB46" s="87">
        <v>2</v>
      </c>
      <c r="AC46" s="88" t="s">
        <v>92</v>
      </c>
      <c r="AD46" s="87">
        <v>4</v>
      </c>
      <c r="AE46" s="88" t="s">
        <v>93</v>
      </c>
      <c r="AF46" s="87">
        <v>4</v>
      </c>
      <c r="AG46" s="88" t="s">
        <v>89</v>
      </c>
      <c r="AH46" s="87">
        <v>4</v>
      </c>
      <c r="AI46" s="88" t="s">
        <v>88</v>
      </c>
      <c r="AJ46" s="87">
        <v>4</v>
      </c>
      <c r="AK46" s="89">
        <f>AVERAGE(Z46,AB46,AD46,AF46,AH46,AJ46)</f>
        <v>3.6666666666666665</v>
      </c>
      <c r="AL46" s="179"/>
      <c r="AM46" s="89">
        <f>W46/AK46</f>
        <v>1.2272727272727273</v>
      </c>
      <c r="AN46" s="87" t="str">
        <f>_xlfn.IFS(AM46&lt;=1,"LOW",AND(AM46&gt;1,AM46&lt;=2),"MEDIUM LOW",AND(AM46&gt;2,AM46&lt;=3),"MEDIUM",AND(AM46&gt;3,AM46&lt;=4),"MEDIUM HIGH",AND(AM46&gt;4,AM46&lt;=5),"HIGH")</f>
        <v>MEDIUM LOW</v>
      </c>
      <c r="AO46" s="87">
        <v>1</v>
      </c>
      <c r="AP46" s="87">
        <f>AO46*C46</f>
        <v>6</v>
      </c>
      <c r="AQ46" s="87" t="str">
        <f>_xlfn.IFS(AP46&lt;=5,"LOW RISK",AND(AP46&gt;5,AP46&lt;=12),"MODERATE RISK",AP46&gt;12,"HIGH RISK")</f>
        <v>MODERATE RISK</v>
      </c>
    </row>
    <row r="47" spans="1:43" s="196" customFormat="1" ht="56.25">
      <c r="A47" s="195"/>
      <c r="B47" s="170" t="s">
        <v>230</v>
      </c>
      <c r="C47" s="170">
        <v>6</v>
      </c>
      <c r="D47" s="184"/>
      <c r="E47" s="170" t="s">
        <v>318</v>
      </c>
      <c r="F47" s="180" t="s">
        <v>262</v>
      </c>
      <c r="G47" s="181" t="s">
        <v>301</v>
      </c>
      <c r="H47" s="182">
        <f>_xlfn.IFS(G47="Barangay road
City road",CEILING(2600000*1,1000),G47="Barangay road
City road
National road",CEILING(2600000*2,1000),G47="Barangay road
National road",CEILING(2600000*2,1000),G47="Barangay road",CEILING(2600000*1,1000),G47="City road",CEILING(2600000*1,1000),G47="Barangay road
City road",CEILING(2600000*1,1000),G47="National road",CEILING(2600000*2,1000),G47="Barangay road
NIA
Provincial road",CEILING(2600000*1,1000),G47="Barangay road
NIA
National road",CEILING(2600000*2,1000),G47="Barangay road
Private road
Provincial road",CEILING(2600000*1,1000),G47="Barangay road
Private road
Provincial road
National road",CEILING(2600000*2,1000),G47="Barangay road
NIA
National road
Provincial road",CEILING(2600000*2,1000),G47="Barangay road
Provincial road",CEILING(2600000*1,1000),G47="Barangay road
City road
National road
Provincial road",CEILING(2600000*2,1000),G47="Barangay road
National road
Provincial road",CEILING(2600000*2,1000))</f>
        <v>5200000</v>
      </c>
      <c r="I47" s="204">
        <v>1.5565789999999997</v>
      </c>
      <c r="J47" s="183">
        <v>1.55657954</v>
      </c>
      <c r="K47" s="182">
        <f>H47*J47</f>
        <v>8094213.608</v>
      </c>
      <c r="L47" s="175">
        <f t="shared" si="0"/>
        <v>1.0000003469146124</v>
      </c>
      <c r="M47" s="170">
        <f>_xlfn.IFS(L47&lt;=5%,1,AND(L47&gt;5%,L47&lt;=15%),2,AND(L47&gt;15%,L47&lt;=30%),3,AND(L47&gt;30%,L47&lt;=50%),4,L47&gt;50%,5)</f>
        <v>5</v>
      </c>
      <c r="N47" s="184"/>
      <c r="O47" s="90">
        <f>J47*P47</f>
        <v>1.2546031092400001</v>
      </c>
      <c r="P47" s="176">
        <v>0.80600000000000005</v>
      </c>
      <c r="Q47" s="87">
        <f>_xlfn.IFS(P47&lt;=5%,1,AND(P47&gt;5%,P47&lt;=15%),2,AND(P47&gt;15%,P47&lt;=30%),3,AND(P47&gt;30%,P47&lt;=50%),4,P47&gt;50%,5)</f>
        <v>5</v>
      </c>
      <c r="R47" s="90">
        <f>J47-O47</f>
        <v>0.30197643075999991</v>
      </c>
      <c r="S47" s="176">
        <f>R47/J47</f>
        <v>0.19399999999999995</v>
      </c>
      <c r="T47" s="87">
        <f>_xlfn.IFS(S47&lt;=5%,1,AND(S47&gt;5%,S47&lt;=15%),2,AND(S47&gt;15%,S47&lt;=30%),3,AND(S47&gt;30%,S47&lt;=50%),4,S47&gt;50%,5)</f>
        <v>3</v>
      </c>
      <c r="U47" s="89">
        <f>AVERAGE(Q47,T47)</f>
        <v>4</v>
      </c>
      <c r="V47" s="179"/>
      <c r="W47" s="89">
        <f>AVERAGE(M47,U47)</f>
        <v>4.5</v>
      </c>
      <c r="X47" s="87" t="str">
        <f>_xlfn.IFS(AND(W47&gt;4,W47&lt;=5),"VERY HIGH",AND(W47&gt;3,W47&lt;=4),"HIGH",AND(W47&gt;2,W47&lt;=3),"MODERATE",AND(W47&gt;1,W47&lt;=2),"LOW",W47&lt;=1,"VERY LOW")</f>
        <v>VERY HIGH</v>
      </c>
      <c r="Y47" s="88" t="s">
        <v>90</v>
      </c>
      <c r="Z47" s="87">
        <v>4</v>
      </c>
      <c r="AA47" s="88" t="s">
        <v>91</v>
      </c>
      <c r="AB47" s="87">
        <v>2</v>
      </c>
      <c r="AC47" s="88" t="s">
        <v>92</v>
      </c>
      <c r="AD47" s="87">
        <v>4</v>
      </c>
      <c r="AE47" s="88" t="s">
        <v>93</v>
      </c>
      <c r="AF47" s="87">
        <v>4</v>
      </c>
      <c r="AG47" s="88" t="s">
        <v>89</v>
      </c>
      <c r="AH47" s="87">
        <v>4</v>
      </c>
      <c r="AI47" s="88" t="s">
        <v>88</v>
      </c>
      <c r="AJ47" s="87">
        <v>4</v>
      </c>
      <c r="AK47" s="89">
        <f>AVERAGE(Z47,AB47,AD47,AF47,AH47,AJ47)</f>
        <v>3.6666666666666665</v>
      </c>
      <c r="AL47" s="179"/>
      <c r="AM47" s="89">
        <f>W47/AK47</f>
        <v>1.2272727272727273</v>
      </c>
      <c r="AN47" s="87" t="str">
        <f>_xlfn.IFS(AM47&lt;=1,"LOW",AND(AM47&gt;1,AM47&lt;=2),"MEDIUM LOW",AND(AM47&gt;2,AM47&lt;=3),"MEDIUM",AND(AM47&gt;3,AM47&lt;=4),"MEDIUM HIGH",AND(AM47&gt;4,AM47&lt;=5),"HIGH")</f>
        <v>MEDIUM LOW</v>
      </c>
      <c r="AO47" s="87">
        <v>3</v>
      </c>
      <c r="AP47" s="87">
        <f>AO47*C47</f>
        <v>18</v>
      </c>
      <c r="AQ47" s="87" t="str">
        <f>_xlfn.IFS(AP47&lt;=5,"LOW RISK",AND(AP47&gt;5,AP47&lt;=12),"MODERATE RISK",AP47&gt;12,"HIGH RISK")</f>
        <v>HIGH RISK</v>
      </c>
    </row>
    <row r="48" spans="1:43" s="196" customFormat="1" ht="56.25">
      <c r="A48" s="195"/>
      <c r="B48" s="170" t="s">
        <v>230</v>
      </c>
      <c r="C48" s="170">
        <v>6</v>
      </c>
      <c r="D48" s="184"/>
      <c r="E48" s="170" t="s">
        <v>315</v>
      </c>
      <c r="F48" s="180" t="s">
        <v>263</v>
      </c>
      <c r="G48" s="181" t="s">
        <v>302</v>
      </c>
      <c r="H48" s="182">
        <f>_xlfn.IFS(G48="Barangay road
City road",CEILING(2600000*1,1000),G48="Barangay road
City road
National road",CEILING(2600000*2,1000),G48="Barangay road
National road",CEILING(2600000*2,1000),G48="Barangay road",CEILING(2600000*1,1000),G48="City road",CEILING(2600000*1,1000),G48="Barangay road
City road",CEILING(2600000*1,1000),G48="National road",CEILING(2600000*2,1000),G48="Barangay road
NIA
Provincial road",CEILING(2600000*1,1000),G48="Barangay road
NIA
National road",CEILING(2600000*2,1000),G48="Barangay road
Private road
Provincial road",CEILING(2600000*1,1000),G48="Barangay road
Private road
Provincial road
National road",CEILING(2600000*2,1000),G48="Barangay road
NIA
National road
Provincial road",CEILING(2600000*2,1000),G48="Barangay road
Provincial road",CEILING(2600000*1,1000),G48="Barangay road
City road
National road
Provincial road",CEILING(2600000*2,1000),G48="Barangay road
National road
Provincial road",CEILING(2600000*2,1000))</f>
        <v>5200000</v>
      </c>
      <c r="I48" s="204">
        <v>10.92834</v>
      </c>
      <c r="J48" s="183">
        <v>10.92834</v>
      </c>
      <c r="K48" s="182">
        <f>H48*J48</f>
        <v>56827368</v>
      </c>
      <c r="L48" s="175">
        <f t="shared" si="0"/>
        <v>1</v>
      </c>
      <c r="M48" s="170">
        <f>_xlfn.IFS(L48&lt;=5%,1,AND(L48&gt;5%,L48&lt;=15%),2,AND(L48&gt;15%,L48&lt;=30%),3,AND(L48&gt;30%,L48&lt;=50%),4,L48&gt;50%,5)</f>
        <v>5</v>
      </c>
      <c r="N48" s="184"/>
      <c r="O48" s="90">
        <f>J48*P48</f>
        <v>1.9889578800000001</v>
      </c>
      <c r="P48" s="176">
        <v>0.182</v>
      </c>
      <c r="Q48" s="87">
        <f>_xlfn.IFS(P48&lt;=5%,1,AND(P48&gt;5%,P48&lt;=15%),2,AND(P48&gt;15%,P48&lt;=30%),3,AND(P48&gt;30%,P48&lt;=50%),4,P48&gt;50%,5)</f>
        <v>3</v>
      </c>
      <c r="R48" s="90">
        <f>J48-O48</f>
        <v>8.9393821200000012</v>
      </c>
      <c r="S48" s="176">
        <f>R48/J48</f>
        <v>0.81800000000000006</v>
      </c>
      <c r="T48" s="87">
        <f>_xlfn.IFS(S48&lt;=5%,1,AND(S48&gt;5%,S48&lt;=15%),2,AND(S48&gt;15%,S48&lt;=30%),3,AND(S48&gt;30%,S48&lt;=50%),4,S48&gt;50%,5)</f>
        <v>5</v>
      </c>
      <c r="U48" s="89">
        <f>AVERAGE(Q48,T48)</f>
        <v>4</v>
      </c>
      <c r="V48" s="179"/>
      <c r="W48" s="89">
        <f>AVERAGE(M48,U48)</f>
        <v>4.5</v>
      </c>
      <c r="X48" s="87" t="str">
        <f>_xlfn.IFS(AND(W48&gt;4,W48&lt;=5),"VERY HIGH",AND(W48&gt;3,W48&lt;=4),"HIGH",AND(W48&gt;2,W48&lt;=3),"MODERATE",AND(W48&gt;1,W48&lt;=2),"LOW",W48&lt;=1,"VERY LOW")</f>
        <v>VERY HIGH</v>
      </c>
      <c r="Y48" s="88" t="s">
        <v>90</v>
      </c>
      <c r="Z48" s="87">
        <v>4</v>
      </c>
      <c r="AA48" s="88" t="s">
        <v>91</v>
      </c>
      <c r="AB48" s="87">
        <v>2</v>
      </c>
      <c r="AC48" s="88" t="s">
        <v>92</v>
      </c>
      <c r="AD48" s="87">
        <v>4</v>
      </c>
      <c r="AE48" s="88" t="s">
        <v>93</v>
      </c>
      <c r="AF48" s="87">
        <v>4</v>
      </c>
      <c r="AG48" s="88" t="s">
        <v>89</v>
      </c>
      <c r="AH48" s="87">
        <v>4</v>
      </c>
      <c r="AI48" s="88" t="s">
        <v>88</v>
      </c>
      <c r="AJ48" s="87">
        <v>4</v>
      </c>
      <c r="AK48" s="89">
        <f>AVERAGE(Z48,AB48,AD48,AF48,AH48,AJ48)</f>
        <v>3.6666666666666665</v>
      </c>
      <c r="AL48" s="179"/>
      <c r="AM48" s="89">
        <f>W48/AK48</f>
        <v>1.2272727272727273</v>
      </c>
      <c r="AN48" s="87" t="str">
        <f>_xlfn.IFS(AM48&lt;=1,"LOW",AND(AM48&gt;1,AM48&lt;=2),"MEDIUM LOW",AND(AM48&gt;2,AM48&lt;=3),"MEDIUM",AND(AM48&gt;3,AM48&lt;=4),"MEDIUM HIGH",AND(AM48&gt;4,AM48&lt;=5),"HIGH")</f>
        <v>MEDIUM LOW</v>
      </c>
      <c r="AO48" s="87">
        <v>1</v>
      </c>
      <c r="AP48" s="87">
        <f>AO48*C48</f>
        <v>6</v>
      </c>
      <c r="AQ48" s="87" t="str">
        <f>_xlfn.IFS(AP48&lt;=5,"LOW RISK",AND(AP48&gt;5,AP48&lt;=12),"MODERATE RISK",AP48&gt;12,"HIGH RISK")</f>
        <v>MODERATE RISK</v>
      </c>
    </row>
    <row r="49" spans="1:43" s="196" customFormat="1" ht="56.25">
      <c r="A49" s="195"/>
      <c r="B49" s="170" t="s">
        <v>230</v>
      </c>
      <c r="C49" s="170">
        <v>6</v>
      </c>
      <c r="D49" s="184"/>
      <c r="E49" s="170" t="s">
        <v>318</v>
      </c>
      <c r="F49" s="180" t="s">
        <v>264</v>
      </c>
      <c r="G49" s="181" t="s">
        <v>300</v>
      </c>
      <c r="H49" s="182">
        <f>_xlfn.IFS(G49="Barangay road
City road",CEILING(2600000*1,1000),G49="Barangay road
City road
National road",CEILING(2600000*2,1000),G49="Barangay road
National road",CEILING(2600000*2,1000),G49="Barangay road",CEILING(2600000*1,1000),G49="City road",CEILING(2600000*1,1000),G49="Barangay road
City road",CEILING(2600000*1,1000),G49="National road",CEILING(2600000*2,1000),G49="Barangay road
NIA
Provincial road",CEILING(2600000*1,1000),G49="Barangay road
NIA
National road",CEILING(2600000*2,1000),G49="Barangay road
Private road
Provincial road",CEILING(2600000*1,1000),G49="Barangay road
Private road
Provincial road
National road",CEILING(2600000*2,1000),G49="Barangay road
NIA
National road
Provincial road",CEILING(2600000*2,1000),G49="Barangay road
Provincial road",CEILING(2600000*1,1000),G49="Barangay road
City road
National road
Provincial road",CEILING(2600000*2,1000),G49="Barangay road
National road
Provincial road",CEILING(2600000*2,1000))</f>
        <v>2600000</v>
      </c>
      <c r="I49" s="204">
        <v>1.2244496</v>
      </c>
      <c r="J49" s="183">
        <v>1.2244516000000001</v>
      </c>
      <c r="K49" s="182">
        <f>H49*J49</f>
        <v>3183574.16</v>
      </c>
      <c r="L49" s="175">
        <f t="shared" si="0"/>
        <v>1.0000016333869521</v>
      </c>
      <c r="M49" s="170">
        <f>_xlfn.IFS(L49&lt;=5%,1,AND(L49&gt;5%,L49&lt;=15%),2,AND(L49&gt;15%,L49&lt;=30%),3,AND(L49&gt;30%,L49&lt;=50%),4,L49&gt;50%,5)</f>
        <v>5</v>
      </c>
      <c r="N49" s="184"/>
      <c r="O49" s="90">
        <f>J49*P49</f>
        <v>1.2244516000000001</v>
      </c>
      <c r="P49" s="176">
        <v>1</v>
      </c>
      <c r="Q49" s="87">
        <f>_xlfn.IFS(P49&lt;=5%,1,AND(P49&gt;5%,P49&lt;=15%),2,AND(P49&gt;15%,P49&lt;=30%),3,AND(P49&gt;30%,P49&lt;=50%),4,P49&gt;50%,5)</f>
        <v>5</v>
      </c>
      <c r="R49" s="90">
        <f>J49-O49</f>
        <v>0</v>
      </c>
      <c r="S49" s="176">
        <f>R49/J49</f>
        <v>0</v>
      </c>
      <c r="T49" s="87">
        <f>_xlfn.IFS(S49&lt;=5%,1,AND(S49&gt;5%,S49&lt;=15%),2,AND(S49&gt;15%,S49&lt;=30%),3,AND(S49&gt;30%,S49&lt;=50%),4,S49&gt;50%,5)</f>
        <v>1</v>
      </c>
      <c r="U49" s="89">
        <f>AVERAGE(Q49,T49)</f>
        <v>3</v>
      </c>
      <c r="V49" s="179"/>
      <c r="W49" s="89">
        <f>AVERAGE(M49,U49)</f>
        <v>4</v>
      </c>
      <c r="X49" s="87" t="str">
        <f>_xlfn.IFS(AND(W49&gt;4,W49&lt;=5),"VERY HIGH",AND(W49&gt;3,W49&lt;=4),"HIGH",AND(W49&gt;2,W49&lt;=3),"MODERATE",AND(W49&gt;1,W49&lt;=2),"LOW",W49&lt;=1,"VERY LOW")</f>
        <v>HIGH</v>
      </c>
      <c r="Y49" s="88" t="s">
        <v>90</v>
      </c>
      <c r="Z49" s="87">
        <v>4</v>
      </c>
      <c r="AA49" s="88" t="s">
        <v>91</v>
      </c>
      <c r="AB49" s="87">
        <v>2</v>
      </c>
      <c r="AC49" s="88" t="s">
        <v>92</v>
      </c>
      <c r="AD49" s="87">
        <v>4</v>
      </c>
      <c r="AE49" s="88" t="s">
        <v>93</v>
      </c>
      <c r="AF49" s="87">
        <v>4</v>
      </c>
      <c r="AG49" s="88" t="s">
        <v>89</v>
      </c>
      <c r="AH49" s="87">
        <v>4</v>
      </c>
      <c r="AI49" s="88" t="s">
        <v>88</v>
      </c>
      <c r="AJ49" s="87">
        <v>4</v>
      </c>
      <c r="AK49" s="89">
        <f>AVERAGE(Z49,AB49,AD49,AF49,AH49,AJ49)</f>
        <v>3.6666666666666665</v>
      </c>
      <c r="AL49" s="179"/>
      <c r="AM49" s="89">
        <f>W49/AK49</f>
        <v>1.0909090909090911</v>
      </c>
      <c r="AN49" s="87" t="str">
        <f>_xlfn.IFS(AM49&lt;=1,"LOW",AND(AM49&gt;1,AM49&lt;=2),"MEDIUM LOW",AND(AM49&gt;2,AM49&lt;=3),"MEDIUM",AND(AM49&gt;3,AM49&lt;=4),"MEDIUM HIGH",AND(AM49&gt;4,AM49&lt;=5),"HIGH")</f>
        <v>MEDIUM LOW</v>
      </c>
      <c r="AO49" s="87">
        <v>3</v>
      </c>
      <c r="AP49" s="87">
        <f>AO49*C49</f>
        <v>18</v>
      </c>
      <c r="AQ49" s="87" t="str">
        <f>_xlfn.IFS(AP49&lt;=5,"LOW RISK",AND(AP49&gt;5,AP49&lt;=12),"MODERATE RISK",AP49&gt;12,"HIGH RISK")</f>
        <v>HIGH RISK</v>
      </c>
    </row>
    <row r="50" spans="1:43" s="196" customFormat="1" ht="56.25">
      <c r="A50" s="195"/>
      <c r="B50" s="170" t="s">
        <v>230</v>
      </c>
      <c r="C50" s="170">
        <v>6</v>
      </c>
      <c r="D50" s="184"/>
      <c r="E50" s="170" t="s">
        <v>315</v>
      </c>
      <c r="F50" s="180" t="s">
        <v>43</v>
      </c>
      <c r="G50" s="181" t="s">
        <v>301</v>
      </c>
      <c r="H50" s="182">
        <f>_xlfn.IFS(G50="Barangay road
City road",CEILING(2600000*1,1000),G50="Barangay road
City road
National road",CEILING(2600000*2,1000),G50="Barangay road
National road",CEILING(2600000*2,1000),G50="Barangay road",CEILING(2600000*1,1000),G50="City road",CEILING(2600000*1,1000),G50="Barangay road
City road",CEILING(2600000*1,1000),G50="National road",CEILING(2600000*2,1000),G50="Barangay road
NIA
Provincial road",CEILING(2600000*1,1000),G50="Barangay road
NIA
National road",CEILING(2600000*2,1000),G50="Barangay road
Private road
Provincial road",CEILING(2600000*1,1000),G50="Barangay road
Private road
Provincial road
National road",CEILING(2600000*2,1000),G50="Barangay road
NIA
National road
Provincial road",CEILING(2600000*2,1000),G50="Barangay road
Provincial road",CEILING(2600000*1,1000),G50="Barangay road
City road
National road
Provincial road",CEILING(2600000*2,1000),G50="Barangay road
National road
Provincial road",CEILING(2600000*2,1000))</f>
        <v>5200000</v>
      </c>
      <c r="I50" s="204">
        <v>63.604479999999995</v>
      </c>
      <c r="J50" s="183">
        <v>61.894809200000005</v>
      </c>
      <c r="K50" s="182">
        <f>H50*J50</f>
        <v>321853007.84000003</v>
      </c>
      <c r="L50" s="175">
        <f t="shared" si="0"/>
        <v>0.9731202770622448</v>
      </c>
      <c r="M50" s="170">
        <f>_xlfn.IFS(L50&lt;=5%,1,AND(L50&gt;5%,L50&lt;=15%),2,AND(L50&gt;15%,L50&lt;=30%),3,AND(L50&gt;30%,L50&lt;=50%),4,L50&gt;50%,5)</f>
        <v>5</v>
      </c>
      <c r="N50" s="184"/>
      <c r="O50" s="90">
        <f>J50*P50</f>
        <v>34.3825665106</v>
      </c>
      <c r="P50" s="176">
        <v>0.55549999999999999</v>
      </c>
      <c r="Q50" s="87">
        <f>_xlfn.IFS(P50&lt;=5%,1,AND(P50&gt;5%,P50&lt;=15%),2,AND(P50&gt;15%,P50&lt;=30%),3,AND(P50&gt;30%,P50&lt;=50%),4,P50&gt;50%,5)</f>
        <v>5</v>
      </c>
      <c r="R50" s="90">
        <f>J50-O50</f>
        <v>27.512242689400004</v>
      </c>
      <c r="S50" s="176">
        <f>R50/J50</f>
        <v>0.44450000000000006</v>
      </c>
      <c r="T50" s="87">
        <f>_xlfn.IFS(S50&lt;=5%,1,AND(S50&gt;5%,S50&lt;=15%),2,AND(S50&gt;15%,S50&lt;=30%),3,AND(S50&gt;30%,S50&lt;=50%),4,S50&gt;50%,5)</f>
        <v>4</v>
      </c>
      <c r="U50" s="89">
        <f>AVERAGE(Q50,T50)</f>
        <v>4.5</v>
      </c>
      <c r="V50" s="179"/>
      <c r="W50" s="89">
        <f>AVERAGE(M50,U50)</f>
        <v>4.75</v>
      </c>
      <c r="X50" s="87" t="str">
        <f>_xlfn.IFS(AND(W50&gt;4,W50&lt;=5),"VERY HIGH",AND(W50&gt;3,W50&lt;=4),"HIGH",AND(W50&gt;2,W50&lt;=3),"MODERATE",AND(W50&gt;1,W50&lt;=2),"LOW",W50&lt;=1,"VERY LOW")</f>
        <v>VERY HIGH</v>
      </c>
      <c r="Y50" s="88" t="s">
        <v>90</v>
      </c>
      <c r="Z50" s="87">
        <v>4</v>
      </c>
      <c r="AA50" s="88" t="s">
        <v>91</v>
      </c>
      <c r="AB50" s="87">
        <v>2</v>
      </c>
      <c r="AC50" s="88" t="s">
        <v>92</v>
      </c>
      <c r="AD50" s="87">
        <v>4</v>
      </c>
      <c r="AE50" s="88" t="s">
        <v>93</v>
      </c>
      <c r="AF50" s="87">
        <v>4</v>
      </c>
      <c r="AG50" s="88" t="s">
        <v>89</v>
      </c>
      <c r="AH50" s="87">
        <v>4</v>
      </c>
      <c r="AI50" s="88" t="s">
        <v>88</v>
      </c>
      <c r="AJ50" s="87">
        <v>4</v>
      </c>
      <c r="AK50" s="89">
        <f>AVERAGE(Z50,AB50,AD50,AF50,AH50,AJ50)</f>
        <v>3.6666666666666665</v>
      </c>
      <c r="AL50" s="179"/>
      <c r="AM50" s="89">
        <f>W50/AK50</f>
        <v>1.2954545454545454</v>
      </c>
      <c r="AN50" s="87" t="str">
        <f>_xlfn.IFS(AM50&lt;=1,"LOW",AND(AM50&gt;1,AM50&lt;=2),"MEDIUM LOW",AND(AM50&gt;2,AM50&lt;=3),"MEDIUM",AND(AM50&gt;3,AM50&lt;=4),"MEDIUM HIGH",AND(AM50&gt;4,AM50&lt;=5),"HIGH")</f>
        <v>MEDIUM LOW</v>
      </c>
      <c r="AO50" s="87">
        <v>1</v>
      </c>
      <c r="AP50" s="87">
        <f>AO50*C50</f>
        <v>6</v>
      </c>
      <c r="AQ50" s="87" t="str">
        <f>_xlfn.IFS(AP50&lt;=5,"LOW RISK",AND(AP50&gt;5,AP50&lt;=12),"MODERATE RISK",AP50&gt;12,"HIGH RISK")</f>
        <v>MODERATE RISK</v>
      </c>
    </row>
    <row r="51" spans="1:43" s="196" customFormat="1" ht="56.25">
      <c r="A51" s="195"/>
      <c r="B51" s="170" t="s">
        <v>230</v>
      </c>
      <c r="C51" s="170">
        <v>6</v>
      </c>
      <c r="D51" s="184"/>
      <c r="E51" s="170" t="s">
        <v>318</v>
      </c>
      <c r="F51" s="180" t="s">
        <v>265</v>
      </c>
      <c r="G51" s="181" t="s">
        <v>301</v>
      </c>
      <c r="H51" s="182">
        <f>_xlfn.IFS(G51="Barangay road
City road",CEILING(2600000*1,1000),G51="Barangay road
City road
National road",CEILING(2600000*2,1000),G51="Barangay road
National road",CEILING(2600000*2,1000),G51="Barangay road",CEILING(2600000*1,1000),G51="City road",CEILING(2600000*1,1000),G51="Barangay road
City road",CEILING(2600000*1,1000),G51="National road",CEILING(2600000*2,1000),G51="Barangay road
NIA
Provincial road",CEILING(2600000*1,1000),G51="Barangay road
NIA
National road",CEILING(2600000*2,1000),G51="Barangay road
Private road
Provincial road",CEILING(2600000*1,1000),G51="Barangay road
Private road
Provincial road
National road",CEILING(2600000*2,1000),G51="Barangay road
NIA
National road
Provincial road",CEILING(2600000*2,1000),G51="Barangay road
Provincial road",CEILING(2600000*1,1000),G51="Barangay road
City road
National road
Provincial road",CEILING(2600000*2,1000),G51="Barangay road
National road
Provincial road",CEILING(2600000*2,1000))</f>
        <v>5200000</v>
      </c>
      <c r="I51" s="204">
        <v>7.0120740000000001</v>
      </c>
      <c r="J51" s="183">
        <v>7.0120693000000003</v>
      </c>
      <c r="K51" s="182">
        <f>H51*J51</f>
        <v>36462760.359999999</v>
      </c>
      <c r="L51" s="175">
        <f t="shared" si="0"/>
        <v>0.99999932972755279</v>
      </c>
      <c r="M51" s="170">
        <f>_xlfn.IFS(L51&lt;=5%,1,AND(L51&gt;5%,L51&lt;=15%),2,AND(L51&gt;15%,L51&lt;=30%),3,AND(L51&gt;30%,L51&lt;=50%),4,L51&gt;50%,5)</f>
        <v>5</v>
      </c>
      <c r="N51" s="184"/>
      <c r="O51" s="90">
        <f>J51*P51</f>
        <v>3.4338103362100001</v>
      </c>
      <c r="P51" s="176">
        <v>0.48970000000000002</v>
      </c>
      <c r="Q51" s="87">
        <f>_xlfn.IFS(P51&lt;=5%,1,AND(P51&gt;5%,P51&lt;=15%),2,AND(P51&gt;15%,P51&lt;=30%),3,AND(P51&gt;30%,P51&lt;=50%),4,P51&gt;50%,5)</f>
        <v>4</v>
      </c>
      <c r="R51" s="90">
        <f>J51-O51</f>
        <v>3.5782589637900002</v>
      </c>
      <c r="S51" s="176">
        <f>R51/J51</f>
        <v>0.51029999999999998</v>
      </c>
      <c r="T51" s="87">
        <f>_xlfn.IFS(S51&lt;=5%,1,AND(S51&gt;5%,S51&lt;=15%),2,AND(S51&gt;15%,S51&lt;=30%),3,AND(S51&gt;30%,S51&lt;=50%),4,S51&gt;50%,5)</f>
        <v>5</v>
      </c>
      <c r="U51" s="89">
        <f>AVERAGE(Q51,T51)</f>
        <v>4.5</v>
      </c>
      <c r="V51" s="179"/>
      <c r="W51" s="89">
        <f>AVERAGE(M51,U51)</f>
        <v>4.75</v>
      </c>
      <c r="X51" s="87" t="str">
        <f>_xlfn.IFS(AND(W51&gt;4,W51&lt;=5),"VERY HIGH",AND(W51&gt;3,W51&lt;=4),"HIGH",AND(W51&gt;2,W51&lt;=3),"MODERATE",AND(W51&gt;1,W51&lt;=2),"LOW",W51&lt;=1,"VERY LOW")</f>
        <v>VERY HIGH</v>
      </c>
      <c r="Y51" s="88" t="s">
        <v>90</v>
      </c>
      <c r="Z51" s="87">
        <v>4</v>
      </c>
      <c r="AA51" s="88" t="s">
        <v>91</v>
      </c>
      <c r="AB51" s="87">
        <v>2</v>
      </c>
      <c r="AC51" s="88" t="s">
        <v>92</v>
      </c>
      <c r="AD51" s="87">
        <v>4</v>
      </c>
      <c r="AE51" s="88" t="s">
        <v>93</v>
      </c>
      <c r="AF51" s="87">
        <v>4</v>
      </c>
      <c r="AG51" s="88" t="s">
        <v>89</v>
      </c>
      <c r="AH51" s="87">
        <v>4</v>
      </c>
      <c r="AI51" s="88" t="s">
        <v>88</v>
      </c>
      <c r="AJ51" s="87">
        <v>4</v>
      </c>
      <c r="AK51" s="89">
        <f>AVERAGE(Z51,AB51,AD51,AF51,AH51,AJ51)</f>
        <v>3.6666666666666665</v>
      </c>
      <c r="AL51" s="179"/>
      <c r="AM51" s="89">
        <f>W51/AK51</f>
        <v>1.2954545454545454</v>
      </c>
      <c r="AN51" s="87" t="str">
        <f>_xlfn.IFS(AM51&lt;=1,"LOW",AND(AM51&gt;1,AM51&lt;=2),"MEDIUM LOW",AND(AM51&gt;2,AM51&lt;=3),"MEDIUM",AND(AM51&gt;3,AM51&lt;=4),"MEDIUM HIGH",AND(AM51&gt;4,AM51&lt;=5),"HIGH")</f>
        <v>MEDIUM LOW</v>
      </c>
      <c r="AO51" s="87">
        <v>3</v>
      </c>
      <c r="AP51" s="87">
        <f>AO51*C51</f>
        <v>18</v>
      </c>
      <c r="AQ51" s="87" t="str">
        <f>_xlfn.IFS(AP51&lt;=5,"LOW RISK",AND(AP51&gt;5,AP51&lt;=12),"MODERATE RISK",AP51&gt;12,"HIGH RISK")</f>
        <v>HIGH RISK</v>
      </c>
    </row>
    <row r="52" spans="1:43" s="196" customFormat="1" ht="56.25">
      <c r="A52" s="195"/>
      <c r="B52" s="170" t="s">
        <v>230</v>
      </c>
      <c r="C52" s="170">
        <v>6</v>
      </c>
      <c r="D52" s="184"/>
      <c r="E52" s="170" t="s">
        <v>315</v>
      </c>
      <c r="F52" s="180" t="s">
        <v>266</v>
      </c>
      <c r="G52" s="181" t="s">
        <v>302</v>
      </c>
      <c r="H52" s="182">
        <f>_xlfn.IFS(G52="Barangay road
City road",CEILING(2600000*1,1000),G52="Barangay road
City road
National road",CEILING(2600000*2,1000),G52="Barangay road
National road",CEILING(2600000*2,1000),G52="Barangay road",CEILING(2600000*1,1000),G52="City road",CEILING(2600000*1,1000),G52="Barangay road
City road",CEILING(2600000*1,1000),G52="National road",CEILING(2600000*2,1000),G52="Barangay road
NIA
Provincial road",CEILING(2600000*1,1000),G52="Barangay road
NIA
National road",CEILING(2600000*2,1000),G52="Barangay road
Private road
Provincial road",CEILING(2600000*1,1000),G52="Barangay road
Private road
Provincial road
National road",CEILING(2600000*2,1000),G52="Barangay road
NIA
National road
Provincial road",CEILING(2600000*2,1000),G52="Barangay road
Provincial road",CEILING(2600000*1,1000),G52="Barangay road
City road
National road
Provincial road",CEILING(2600000*2,1000),G52="Barangay road
National road
Provincial road",CEILING(2600000*2,1000))</f>
        <v>5200000</v>
      </c>
      <c r="I52" s="204">
        <v>18.032319999999999</v>
      </c>
      <c r="J52" s="183">
        <v>17.958020000000001</v>
      </c>
      <c r="K52" s="182">
        <f>H52*J52</f>
        <v>93381704</v>
      </c>
      <c r="L52" s="175">
        <f t="shared" si="0"/>
        <v>0.99587962059235879</v>
      </c>
      <c r="M52" s="170">
        <f>_xlfn.IFS(L52&lt;=5%,1,AND(L52&gt;5%,L52&lt;=15%),2,AND(L52&gt;15%,L52&lt;=30%),3,AND(L52&gt;30%,L52&lt;=50%),4,L52&gt;50%,5)</f>
        <v>5</v>
      </c>
      <c r="N52" s="184"/>
      <c r="O52" s="90">
        <f>J52*P52</f>
        <v>0.86378076199999998</v>
      </c>
      <c r="P52" s="176">
        <v>4.8099999999999997E-2</v>
      </c>
      <c r="Q52" s="87">
        <f>_xlfn.IFS(P52&lt;=5%,1,AND(P52&gt;5%,P52&lt;=15%),2,AND(P52&gt;15%,P52&lt;=30%),3,AND(P52&gt;30%,P52&lt;=50%),4,P52&gt;50%,5)</f>
        <v>1</v>
      </c>
      <c r="R52" s="90">
        <f>J52-O52</f>
        <v>17.094239238</v>
      </c>
      <c r="S52" s="176">
        <f>R52/J52</f>
        <v>0.95189999999999997</v>
      </c>
      <c r="T52" s="87">
        <f>_xlfn.IFS(S52&lt;=5%,1,AND(S52&gt;5%,S52&lt;=15%),2,AND(S52&gt;15%,S52&lt;=30%),3,AND(S52&gt;30%,S52&lt;=50%),4,S52&gt;50%,5)</f>
        <v>5</v>
      </c>
      <c r="U52" s="89">
        <f>AVERAGE(Q52,T52)</f>
        <v>3</v>
      </c>
      <c r="V52" s="179"/>
      <c r="W52" s="89">
        <f>AVERAGE(M52,U52)</f>
        <v>4</v>
      </c>
      <c r="X52" s="87" t="str">
        <f>_xlfn.IFS(AND(W52&gt;4,W52&lt;=5),"VERY HIGH",AND(W52&gt;3,W52&lt;=4),"HIGH",AND(W52&gt;2,W52&lt;=3),"MODERATE",AND(W52&gt;1,W52&lt;=2),"LOW",W52&lt;=1,"VERY LOW")</f>
        <v>HIGH</v>
      </c>
      <c r="Y52" s="88" t="s">
        <v>90</v>
      </c>
      <c r="Z52" s="87">
        <v>4</v>
      </c>
      <c r="AA52" s="88" t="s">
        <v>91</v>
      </c>
      <c r="AB52" s="87">
        <v>2</v>
      </c>
      <c r="AC52" s="88" t="s">
        <v>92</v>
      </c>
      <c r="AD52" s="87">
        <v>4</v>
      </c>
      <c r="AE52" s="88" t="s">
        <v>93</v>
      </c>
      <c r="AF52" s="87">
        <v>4</v>
      </c>
      <c r="AG52" s="88" t="s">
        <v>89</v>
      </c>
      <c r="AH52" s="87">
        <v>4</v>
      </c>
      <c r="AI52" s="88" t="s">
        <v>88</v>
      </c>
      <c r="AJ52" s="87">
        <v>4</v>
      </c>
      <c r="AK52" s="89">
        <f>AVERAGE(Z52,AB52,AD52,AF52,AH52,AJ52)</f>
        <v>3.6666666666666665</v>
      </c>
      <c r="AL52" s="179"/>
      <c r="AM52" s="89">
        <f>W52/AK52</f>
        <v>1.0909090909090911</v>
      </c>
      <c r="AN52" s="87" t="str">
        <f>_xlfn.IFS(AM52&lt;=1,"LOW",AND(AM52&gt;1,AM52&lt;=2),"MEDIUM LOW",AND(AM52&gt;2,AM52&lt;=3),"MEDIUM",AND(AM52&gt;3,AM52&lt;=4),"MEDIUM HIGH",AND(AM52&gt;4,AM52&lt;=5),"HIGH")</f>
        <v>MEDIUM LOW</v>
      </c>
      <c r="AO52" s="87">
        <v>1</v>
      </c>
      <c r="AP52" s="87">
        <f>AO52*C52</f>
        <v>6</v>
      </c>
      <c r="AQ52" s="87" t="str">
        <f>_xlfn.IFS(AP52&lt;=5,"LOW RISK",AND(AP52&gt;5,AP52&lt;=12),"MODERATE RISK",AP52&gt;12,"HIGH RISK")</f>
        <v>MODERATE RISK</v>
      </c>
    </row>
    <row r="53" spans="1:43" s="196" customFormat="1" ht="56.25">
      <c r="A53" s="195"/>
      <c r="B53" s="170" t="s">
        <v>230</v>
      </c>
      <c r="C53" s="170">
        <v>6</v>
      </c>
      <c r="D53" s="184"/>
      <c r="E53" s="170" t="s">
        <v>299</v>
      </c>
      <c r="F53" s="180" t="s">
        <v>44</v>
      </c>
      <c r="G53" s="181" t="s">
        <v>302</v>
      </c>
      <c r="H53" s="182">
        <f>_xlfn.IFS(G53="Barangay road
City road",CEILING(2600000*1,1000),G53="Barangay road
City road
National road",CEILING(2600000*2,1000),G53="Barangay road
National road",CEILING(2600000*2,1000),G53="Barangay road",CEILING(2600000*1,1000),G53="City road",CEILING(2600000*1,1000),G53="Barangay road
City road",CEILING(2600000*1,1000),G53="National road",CEILING(2600000*2,1000),G53="Barangay road
NIA
Provincial road",CEILING(2600000*1,1000),G53="Barangay road
NIA
National road",CEILING(2600000*2,1000),G53="Barangay road
Private road
Provincial road",CEILING(2600000*1,1000),G53="Barangay road
Private road
Provincial road
National road",CEILING(2600000*2,1000),G53="Barangay road
NIA
National road
Provincial road",CEILING(2600000*2,1000),G53="Barangay road
Provincial road",CEILING(2600000*1,1000),G53="Barangay road
City road
National road
Provincial road",CEILING(2600000*2,1000),G53="Barangay road
National road
Provincial road",CEILING(2600000*2,1000))</f>
        <v>5200000</v>
      </c>
      <c r="I53" s="204">
        <v>4.9911300000000001</v>
      </c>
      <c r="J53" s="183">
        <v>4.9911300000000001</v>
      </c>
      <c r="K53" s="182">
        <f>H53*J53</f>
        <v>25953876</v>
      </c>
      <c r="L53" s="175">
        <f t="shared" si="0"/>
        <v>1</v>
      </c>
      <c r="M53" s="170">
        <f>_xlfn.IFS(L53&lt;=5%,1,AND(L53&gt;5%,L53&lt;=15%),2,AND(L53&gt;15%,L53&lt;=30%),3,AND(L53&gt;30%,L53&lt;=50%),4,L53&gt;50%,5)</f>
        <v>5</v>
      </c>
      <c r="N53" s="184"/>
      <c r="O53" s="90">
        <f>J53*P53</f>
        <v>1.6969842000000002</v>
      </c>
      <c r="P53" s="176">
        <v>0.34</v>
      </c>
      <c r="Q53" s="87">
        <f>_xlfn.IFS(P53&lt;=5%,1,AND(P53&gt;5%,P53&lt;=15%),2,AND(P53&gt;15%,P53&lt;=30%),3,AND(P53&gt;30%,P53&lt;=50%),4,P53&gt;50%,5)</f>
        <v>4</v>
      </c>
      <c r="R53" s="90">
        <f>J53-O53</f>
        <v>3.2941457999999999</v>
      </c>
      <c r="S53" s="176">
        <f>R53/J53</f>
        <v>0.65999999999999992</v>
      </c>
      <c r="T53" s="87">
        <f>_xlfn.IFS(S53&lt;=5%,1,AND(S53&gt;5%,S53&lt;=15%),2,AND(S53&gt;15%,S53&lt;=30%),3,AND(S53&gt;30%,S53&lt;=50%),4,S53&gt;50%,5)</f>
        <v>5</v>
      </c>
      <c r="U53" s="89">
        <f>AVERAGE(Q53,T53)</f>
        <v>4.5</v>
      </c>
      <c r="V53" s="179"/>
      <c r="W53" s="89">
        <f>AVERAGE(M53,U53)</f>
        <v>4.75</v>
      </c>
      <c r="X53" s="87" t="str">
        <f>_xlfn.IFS(AND(W53&gt;4,W53&lt;=5),"VERY HIGH",AND(W53&gt;3,W53&lt;=4),"HIGH",AND(W53&gt;2,W53&lt;=3),"MODERATE",AND(W53&gt;1,W53&lt;=2),"LOW",W53&lt;=1,"VERY LOW")</f>
        <v>VERY HIGH</v>
      </c>
      <c r="Y53" s="88" t="s">
        <v>90</v>
      </c>
      <c r="Z53" s="87">
        <v>4</v>
      </c>
      <c r="AA53" s="88" t="s">
        <v>91</v>
      </c>
      <c r="AB53" s="87">
        <v>2</v>
      </c>
      <c r="AC53" s="88" t="s">
        <v>92</v>
      </c>
      <c r="AD53" s="87">
        <v>4</v>
      </c>
      <c r="AE53" s="88" t="s">
        <v>93</v>
      </c>
      <c r="AF53" s="87">
        <v>4</v>
      </c>
      <c r="AG53" s="88" t="s">
        <v>89</v>
      </c>
      <c r="AH53" s="87">
        <v>4</v>
      </c>
      <c r="AI53" s="88" t="s">
        <v>88</v>
      </c>
      <c r="AJ53" s="87">
        <v>4</v>
      </c>
      <c r="AK53" s="89">
        <f>AVERAGE(Z53,AB53,AD53,AF53,AH53,AJ53)</f>
        <v>3.6666666666666665</v>
      </c>
      <c r="AL53" s="179"/>
      <c r="AM53" s="89">
        <f>W53/AK53</f>
        <v>1.2954545454545454</v>
      </c>
      <c r="AN53" s="87" t="str">
        <f>_xlfn.IFS(AM53&lt;=1,"LOW",AND(AM53&gt;1,AM53&lt;=2),"MEDIUM LOW",AND(AM53&gt;2,AM53&lt;=3),"MEDIUM",AND(AM53&gt;3,AM53&lt;=4),"MEDIUM HIGH",AND(AM53&gt;4,AM53&lt;=5),"HIGH")</f>
        <v>MEDIUM LOW</v>
      </c>
      <c r="AO53" s="87">
        <f>VLOOKUP(F53,[2]FLOODING!$F$4:$AS$40,40,FALSE)</f>
        <v>4</v>
      </c>
      <c r="AP53" s="87">
        <f>AO53*C53</f>
        <v>24</v>
      </c>
      <c r="AQ53" s="87" t="str">
        <f>_xlfn.IFS(AP53&lt;=5,"LOW RISK",AND(AP53&gt;5,AP53&lt;=12),"MODERATE RISK",AP53&gt;12,"HIGH RISK")</f>
        <v>HIGH RISK</v>
      </c>
    </row>
    <row r="54" spans="1:43" s="196" customFormat="1" ht="56.25">
      <c r="A54" s="195"/>
      <c r="B54" s="170" t="s">
        <v>230</v>
      </c>
      <c r="C54" s="170">
        <v>6</v>
      </c>
      <c r="D54" s="184"/>
      <c r="E54" s="170" t="s">
        <v>316</v>
      </c>
      <c r="F54" s="180" t="s">
        <v>267</v>
      </c>
      <c r="G54" s="181" t="s">
        <v>302</v>
      </c>
      <c r="H54" s="182">
        <f>_xlfn.IFS(G54="Barangay road
City road",CEILING(2600000*1,1000),G54="Barangay road
City road
National road",CEILING(2600000*2,1000),G54="Barangay road
National road",CEILING(2600000*2,1000),G54="Barangay road",CEILING(2600000*1,1000),G54="City road",CEILING(2600000*1,1000),G54="Barangay road
City road",CEILING(2600000*1,1000),G54="National road",CEILING(2600000*2,1000),G54="Barangay road
NIA
Provincial road",CEILING(2600000*1,1000),G54="Barangay road
NIA
National road",CEILING(2600000*2,1000),G54="Barangay road
Private road
Provincial road",CEILING(2600000*1,1000),G54="Barangay road
Private road
Provincial road
National road",CEILING(2600000*2,1000),G54="Barangay road
NIA
National road
Provincial road",CEILING(2600000*2,1000),G54="Barangay road
Provincial road",CEILING(2600000*1,1000),G54="Barangay road
City road
National road
Provincial road",CEILING(2600000*2,1000),G54="Barangay road
National road
Provincial road",CEILING(2600000*2,1000))</f>
        <v>5200000</v>
      </c>
      <c r="I54" s="204">
        <v>7.0247299999999999</v>
      </c>
      <c r="J54" s="183">
        <v>0.95795640000000004</v>
      </c>
      <c r="K54" s="182">
        <f>H54*J54</f>
        <v>4981373.28</v>
      </c>
      <c r="L54" s="175">
        <f t="shared" si="0"/>
        <v>0.13636914158978353</v>
      </c>
      <c r="M54" s="170">
        <f>_xlfn.IFS(L54&lt;=5%,1,AND(L54&gt;5%,L54&lt;=15%),2,AND(L54&gt;15%,L54&lt;=30%),3,AND(L54&gt;30%,L54&lt;=50%),4,L54&gt;50%,5)</f>
        <v>2</v>
      </c>
      <c r="N54" s="184"/>
      <c r="O54" s="191">
        <f>J54*P54</f>
        <v>0</v>
      </c>
      <c r="P54" s="192">
        <v>0</v>
      </c>
      <c r="Q54" s="170">
        <f>_xlfn.IFS(P54&lt;=5%,1,AND(P54&gt;5%,P54&lt;=15%),2,AND(P54&gt;15%,P54&lt;=30%),3,AND(P54&gt;30%,P54&lt;=50%),4,P54&gt;50%,5)</f>
        <v>1</v>
      </c>
      <c r="R54" s="191">
        <f>J54-O54</f>
        <v>0.95795640000000004</v>
      </c>
      <c r="S54" s="192">
        <f>R54/J54</f>
        <v>1</v>
      </c>
      <c r="T54" s="170">
        <f>_xlfn.IFS(S54&lt;=5%,1,AND(S54&gt;5%,S54&lt;=15%),2,AND(S54&gt;15%,S54&lt;=30%),3,AND(S54&gt;30%,S54&lt;=50%),4,S54&gt;50%,5)</f>
        <v>5</v>
      </c>
      <c r="U54" s="193">
        <f>AVERAGE(Q54,T54)</f>
        <v>3</v>
      </c>
      <c r="V54" s="184"/>
      <c r="W54" s="193">
        <f>AVERAGE(M54,U54)</f>
        <v>2.5</v>
      </c>
      <c r="X54" s="170" t="str">
        <f>_xlfn.IFS(AND(W54&gt;4,W54&lt;=5),"VERY HIGH",AND(W54&gt;3,W54&lt;=4),"HIGH",AND(W54&gt;2,W54&lt;=3),"MODERATE",AND(W54&gt;1,W54&lt;=2),"LOW",W54&lt;=1,"VERY LOW")</f>
        <v>MODERATE</v>
      </c>
      <c r="Y54" s="194" t="s">
        <v>90</v>
      </c>
      <c r="Z54" s="170">
        <v>4</v>
      </c>
      <c r="AA54" s="194" t="s">
        <v>91</v>
      </c>
      <c r="AB54" s="170">
        <v>2</v>
      </c>
      <c r="AC54" s="194" t="s">
        <v>92</v>
      </c>
      <c r="AD54" s="170">
        <v>4</v>
      </c>
      <c r="AE54" s="194" t="s">
        <v>93</v>
      </c>
      <c r="AF54" s="170">
        <v>4</v>
      </c>
      <c r="AG54" s="194" t="s">
        <v>89</v>
      </c>
      <c r="AH54" s="170">
        <v>4</v>
      </c>
      <c r="AI54" s="194" t="s">
        <v>88</v>
      </c>
      <c r="AJ54" s="170">
        <v>4</v>
      </c>
      <c r="AK54" s="193">
        <f>AVERAGE(Z54,AB54,AD54,AF54,AH54,AJ54)</f>
        <v>3.6666666666666665</v>
      </c>
      <c r="AL54" s="184"/>
      <c r="AM54" s="193">
        <f>W54/AK54</f>
        <v>0.68181818181818188</v>
      </c>
      <c r="AN54" s="170" t="str">
        <f>_xlfn.IFS(AM54&lt;=1,"LOW",AND(AM54&gt;1,AM54&lt;=2),"MEDIUM LOW",AND(AM54&gt;2,AM54&lt;=3),"MEDIUM",AND(AM54&gt;3,AM54&lt;=4),"MEDIUM HIGH",AND(AM54&gt;4,AM54&lt;=5),"HIGH")</f>
        <v>LOW</v>
      </c>
      <c r="AO54" s="170">
        <v>1</v>
      </c>
      <c r="AP54" s="170">
        <f>AO54*C54</f>
        <v>6</v>
      </c>
      <c r="AQ54" s="170" t="str">
        <f>_xlfn.IFS(AP54&lt;=5,"LOW RISK",AND(AP54&gt;5,AP54&lt;=12),"MODERATE RISK",AP54&gt;12,"HIGH RISK")</f>
        <v>MODERATE RISK</v>
      </c>
    </row>
    <row r="55" spans="1:43" s="196" customFormat="1" ht="56.25">
      <c r="A55" s="195"/>
      <c r="B55" s="170" t="s">
        <v>230</v>
      </c>
      <c r="C55" s="170">
        <v>6</v>
      </c>
      <c r="D55" s="184"/>
      <c r="E55" s="170" t="s">
        <v>316</v>
      </c>
      <c r="F55" s="180" t="s">
        <v>268</v>
      </c>
      <c r="G55" s="181" t="s">
        <v>303</v>
      </c>
      <c r="H55" s="182">
        <f>_xlfn.IFS(G55="Barangay road
City road",CEILING(2600000*1,1000),G55="Barangay road
City road
National road",CEILING(2600000*2,1000),G55="Barangay road
National road",CEILING(2600000*2,1000),G55="Barangay road",CEILING(2600000*1,1000),G55="City road",CEILING(2600000*1,1000),G55="Barangay road
City road",CEILING(2600000*1,1000),G55="National road",CEILING(2600000*2,1000),G55="Barangay road
NIA
Provincial road",CEILING(2600000*1,1000),G55="Barangay road
NIA
National road",CEILING(2600000*2,1000),G55="Barangay road
Private road
Provincial road",CEILING(2600000*1,1000),G55="Barangay road
Private road
Provincial road
National road",CEILING(2600000*2,1000),G55="Barangay road
NIA
National road
Provincial road",CEILING(2600000*2,1000),G55="Barangay road
Provincial road",CEILING(2600000*1,1000),G55="Barangay road
City road
National road
Provincial road",CEILING(2600000*2,1000),G55="Barangay road
National road
Provincial road",CEILING(2600000*2,1000))</f>
        <v>2600000</v>
      </c>
      <c r="I55" s="204">
        <v>17.447299999999998</v>
      </c>
      <c r="J55" s="183">
        <v>3.3257829999999999</v>
      </c>
      <c r="K55" s="182">
        <f>H55*J55</f>
        <v>8647035.8000000007</v>
      </c>
      <c r="L55" s="175">
        <f t="shared" si="0"/>
        <v>0.19061877769053093</v>
      </c>
      <c r="M55" s="170">
        <f>_xlfn.IFS(L55&lt;=5%,1,AND(L55&gt;5%,L55&lt;=15%),2,AND(L55&gt;15%,L55&lt;=30%),3,AND(L55&gt;30%,L55&lt;=50%),4,L55&gt;50%,5)</f>
        <v>3</v>
      </c>
      <c r="N55" s="184"/>
      <c r="O55" s="191">
        <f>J55*P55</f>
        <v>0.79985081149999993</v>
      </c>
      <c r="P55" s="192">
        <v>0.24049999999999999</v>
      </c>
      <c r="Q55" s="170">
        <f>_xlfn.IFS(P55&lt;=5%,1,AND(P55&gt;5%,P55&lt;=15%),2,AND(P55&gt;15%,P55&lt;=30%),3,AND(P55&gt;30%,P55&lt;=50%),4,P55&gt;50%,5)</f>
        <v>3</v>
      </c>
      <c r="R55" s="191">
        <f>J55-O55</f>
        <v>2.5259321885000001</v>
      </c>
      <c r="S55" s="192">
        <f>R55/J55</f>
        <v>0.75950000000000006</v>
      </c>
      <c r="T55" s="170">
        <f>_xlfn.IFS(S55&lt;=5%,1,AND(S55&gt;5%,S55&lt;=15%),2,AND(S55&gt;15%,S55&lt;=30%),3,AND(S55&gt;30%,S55&lt;=50%),4,S55&gt;50%,5)</f>
        <v>5</v>
      </c>
      <c r="U55" s="193">
        <f>AVERAGE(Q55,T55)</f>
        <v>4</v>
      </c>
      <c r="V55" s="184"/>
      <c r="W55" s="193">
        <f>AVERAGE(M55,U55)</f>
        <v>3.5</v>
      </c>
      <c r="X55" s="170" t="str">
        <f>_xlfn.IFS(AND(W55&gt;4,W55&lt;=5),"VERY HIGH",AND(W55&gt;3,W55&lt;=4),"HIGH",AND(W55&gt;2,W55&lt;=3),"MODERATE",AND(W55&gt;1,W55&lt;=2),"LOW",W55&lt;=1,"VERY LOW")</f>
        <v>HIGH</v>
      </c>
      <c r="Y55" s="194" t="s">
        <v>90</v>
      </c>
      <c r="Z55" s="170">
        <v>4</v>
      </c>
      <c r="AA55" s="194" t="s">
        <v>91</v>
      </c>
      <c r="AB55" s="170">
        <v>2</v>
      </c>
      <c r="AC55" s="194" t="s">
        <v>92</v>
      </c>
      <c r="AD55" s="170">
        <v>4</v>
      </c>
      <c r="AE55" s="194" t="s">
        <v>93</v>
      </c>
      <c r="AF55" s="170">
        <v>4</v>
      </c>
      <c r="AG55" s="194" t="s">
        <v>89</v>
      </c>
      <c r="AH55" s="170">
        <v>4</v>
      </c>
      <c r="AI55" s="194" t="s">
        <v>88</v>
      </c>
      <c r="AJ55" s="170">
        <v>4</v>
      </c>
      <c r="AK55" s="193">
        <f>AVERAGE(Z55,AB55,AD55,AF55,AH55,AJ55)</f>
        <v>3.6666666666666665</v>
      </c>
      <c r="AL55" s="184"/>
      <c r="AM55" s="193">
        <f>W55/AK55</f>
        <v>0.95454545454545459</v>
      </c>
      <c r="AN55" s="170" t="str">
        <f>_xlfn.IFS(AM55&lt;=1,"LOW",AND(AM55&gt;1,AM55&lt;=2),"MEDIUM LOW",AND(AM55&gt;2,AM55&lt;=3),"MEDIUM",AND(AM55&gt;3,AM55&lt;=4),"MEDIUM HIGH",AND(AM55&gt;4,AM55&lt;=5),"HIGH")</f>
        <v>LOW</v>
      </c>
      <c r="AO55" s="170">
        <v>1</v>
      </c>
      <c r="AP55" s="170">
        <f>AO55*C55</f>
        <v>6</v>
      </c>
      <c r="AQ55" s="170" t="str">
        <f>_xlfn.IFS(AP55&lt;=5,"LOW RISK",AND(AP55&gt;5,AP55&lt;=12),"MODERATE RISK",AP55&gt;12,"HIGH RISK")</f>
        <v>MODERATE RISK</v>
      </c>
    </row>
    <row r="56" spans="1:43" s="196" customFormat="1" ht="56.25">
      <c r="A56" s="195"/>
      <c r="B56" s="170" t="s">
        <v>230</v>
      </c>
      <c r="C56" s="170">
        <v>6</v>
      </c>
      <c r="D56" s="184"/>
      <c r="E56" s="170" t="s">
        <v>315</v>
      </c>
      <c r="F56" s="180" t="s">
        <v>269</v>
      </c>
      <c r="G56" s="181" t="s">
        <v>302</v>
      </c>
      <c r="H56" s="182">
        <f>_xlfn.IFS(G56="Barangay road
City road",CEILING(2600000*1,1000),G56="Barangay road
City road
National road",CEILING(2600000*2,1000),G56="Barangay road
National road",CEILING(2600000*2,1000),G56="Barangay road",CEILING(2600000*1,1000),G56="City road",CEILING(2600000*1,1000),G56="Barangay road
City road",CEILING(2600000*1,1000),G56="National road",CEILING(2600000*2,1000),G56="Barangay road
NIA
Provincial road",CEILING(2600000*1,1000),G56="Barangay road
NIA
National road",CEILING(2600000*2,1000),G56="Barangay road
Private road
Provincial road",CEILING(2600000*1,1000),G56="Barangay road
Private road
Provincial road
National road",CEILING(2600000*2,1000),G56="Barangay road
NIA
National road
Provincial road",CEILING(2600000*2,1000),G56="Barangay road
Provincial road",CEILING(2600000*1,1000),G56="Barangay road
City road
National road
Provincial road",CEILING(2600000*2,1000),G56="Barangay road
National road
Provincial road",CEILING(2600000*2,1000))</f>
        <v>5200000</v>
      </c>
      <c r="I56" s="204">
        <v>20.122319999999998</v>
      </c>
      <c r="J56" s="183">
        <v>20.120523000000002</v>
      </c>
      <c r="K56" s="182">
        <f>H56*J56</f>
        <v>104626719.60000001</v>
      </c>
      <c r="L56" s="175">
        <f t="shared" si="0"/>
        <v>0.99991069618215012</v>
      </c>
      <c r="M56" s="170">
        <f>_xlfn.IFS(L56&lt;=5%,1,AND(L56&gt;5%,L56&lt;=15%),2,AND(L56&gt;15%,L56&lt;=30%),3,AND(L56&gt;30%,L56&lt;=50%),4,L56&gt;50%,5)</f>
        <v>5</v>
      </c>
      <c r="N56" s="184"/>
      <c r="O56" s="90">
        <f>J56*P56</f>
        <v>3.5371879434000006</v>
      </c>
      <c r="P56" s="176">
        <v>0.17580000000000001</v>
      </c>
      <c r="Q56" s="87">
        <f>_xlfn.IFS(P56&lt;=5%,1,AND(P56&gt;5%,P56&lt;=15%),2,AND(P56&gt;15%,P56&lt;=30%),3,AND(P56&gt;30%,P56&lt;=50%),4,P56&gt;50%,5)</f>
        <v>3</v>
      </c>
      <c r="R56" s="90">
        <f>J56-O56</f>
        <v>16.583335056600003</v>
      </c>
      <c r="S56" s="176">
        <f>R56/J56</f>
        <v>0.82420000000000004</v>
      </c>
      <c r="T56" s="87">
        <f>_xlfn.IFS(S56&lt;=5%,1,AND(S56&gt;5%,S56&lt;=15%),2,AND(S56&gt;15%,S56&lt;=30%),3,AND(S56&gt;30%,S56&lt;=50%),4,S56&gt;50%,5)</f>
        <v>5</v>
      </c>
      <c r="U56" s="89">
        <f>AVERAGE(Q56,T56)</f>
        <v>4</v>
      </c>
      <c r="V56" s="179"/>
      <c r="W56" s="89">
        <f>AVERAGE(M56,U56)</f>
        <v>4.5</v>
      </c>
      <c r="X56" s="87" t="str">
        <f>_xlfn.IFS(AND(W56&gt;4,W56&lt;=5),"VERY HIGH",AND(W56&gt;3,W56&lt;=4),"HIGH",AND(W56&gt;2,W56&lt;=3),"MODERATE",AND(W56&gt;1,W56&lt;=2),"LOW",W56&lt;=1,"VERY LOW")</f>
        <v>VERY HIGH</v>
      </c>
      <c r="Y56" s="88" t="s">
        <v>90</v>
      </c>
      <c r="Z56" s="87">
        <v>4</v>
      </c>
      <c r="AA56" s="88" t="s">
        <v>91</v>
      </c>
      <c r="AB56" s="87">
        <v>2</v>
      </c>
      <c r="AC56" s="88" t="s">
        <v>92</v>
      </c>
      <c r="AD56" s="87">
        <v>4</v>
      </c>
      <c r="AE56" s="88" t="s">
        <v>93</v>
      </c>
      <c r="AF56" s="87">
        <v>4</v>
      </c>
      <c r="AG56" s="88" t="s">
        <v>89</v>
      </c>
      <c r="AH56" s="87">
        <v>4</v>
      </c>
      <c r="AI56" s="88" t="s">
        <v>88</v>
      </c>
      <c r="AJ56" s="87">
        <v>4</v>
      </c>
      <c r="AK56" s="89">
        <f>AVERAGE(Z56,AB56,AD56,AF56,AH56,AJ56)</f>
        <v>3.6666666666666665</v>
      </c>
      <c r="AL56" s="179"/>
      <c r="AM56" s="89">
        <f>W56/AK56</f>
        <v>1.2272727272727273</v>
      </c>
      <c r="AN56" s="87" t="str">
        <f>_xlfn.IFS(AM56&lt;=1,"LOW",AND(AM56&gt;1,AM56&lt;=2),"MEDIUM LOW",AND(AM56&gt;2,AM56&lt;=3),"MEDIUM",AND(AM56&gt;3,AM56&lt;=4),"MEDIUM HIGH",AND(AM56&gt;4,AM56&lt;=5),"HIGH")</f>
        <v>MEDIUM LOW</v>
      </c>
      <c r="AO56" s="87">
        <v>1</v>
      </c>
      <c r="AP56" s="87">
        <f>AO56*C56</f>
        <v>6</v>
      </c>
      <c r="AQ56" s="87" t="str">
        <f>_xlfn.IFS(AP56&lt;=5,"LOW RISK",AND(AP56&gt;5,AP56&lt;=12),"MODERATE RISK",AP56&gt;12,"HIGH RISK")</f>
        <v>MODERATE RISK</v>
      </c>
    </row>
    <row r="57" spans="1:43" s="196" customFormat="1" ht="56.25">
      <c r="A57" s="195"/>
      <c r="B57" s="170" t="s">
        <v>230</v>
      </c>
      <c r="C57" s="170">
        <v>6</v>
      </c>
      <c r="D57" s="184"/>
      <c r="E57" s="170" t="s">
        <v>318</v>
      </c>
      <c r="F57" s="180" t="s">
        <v>270</v>
      </c>
      <c r="G57" s="181" t="s">
        <v>300</v>
      </c>
      <c r="H57" s="182">
        <f>_xlfn.IFS(G57="Barangay road
City road",CEILING(2600000*1,1000),G57="Barangay road
City road
National road",CEILING(2600000*2,1000),G57="Barangay road
National road",CEILING(2600000*2,1000),G57="Barangay road",CEILING(2600000*1,1000),G57="City road",CEILING(2600000*1,1000),G57="Barangay road
City road",CEILING(2600000*1,1000),G57="National road",CEILING(2600000*2,1000),G57="Barangay road
NIA
Provincial road",CEILING(2600000*1,1000),G57="Barangay road
NIA
National road",CEILING(2600000*2,1000),G57="Barangay road
Private road
Provincial road",CEILING(2600000*1,1000),G57="Barangay road
Private road
Provincial road
National road",CEILING(2600000*2,1000),G57="Barangay road
NIA
National road
Provincial road",CEILING(2600000*2,1000),G57="Barangay road
Provincial road",CEILING(2600000*1,1000),G57="Barangay road
City road
National road
Provincial road",CEILING(2600000*2,1000),G57="Barangay road
National road
Provincial road",CEILING(2600000*2,1000))</f>
        <v>2600000</v>
      </c>
      <c r="I57" s="204">
        <v>5.9104000000000001</v>
      </c>
      <c r="J57" s="183">
        <v>5.9104041</v>
      </c>
      <c r="K57" s="182">
        <f>H57*J57</f>
        <v>15367050.66</v>
      </c>
      <c r="L57" s="175">
        <f t="shared" si="0"/>
        <v>1.0000006936924744</v>
      </c>
      <c r="M57" s="170">
        <f>_xlfn.IFS(L57&lt;=5%,1,AND(L57&gt;5%,L57&lt;=15%),2,AND(L57&gt;15%,L57&lt;=30%),3,AND(L57&gt;30%,L57&lt;=50%),4,L57&gt;50%,5)</f>
        <v>5</v>
      </c>
      <c r="N57" s="184"/>
      <c r="O57" s="90">
        <f>J57*P57</f>
        <v>1.12120365777</v>
      </c>
      <c r="P57" s="176">
        <v>0.18970000000000001</v>
      </c>
      <c r="Q57" s="87">
        <f>_xlfn.IFS(P57&lt;=5%,1,AND(P57&gt;5%,P57&lt;=15%),2,AND(P57&gt;15%,P57&lt;=30%),3,AND(P57&gt;30%,P57&lt;=50%),4,P57&gt;50%,5)</f>
        <v>3</v>
      </c>
      <c r="R57" s="90">
        <f>J57-O57</f>
        <v>4.7892004422300003</v>
      </c>
      <c r="S57" s="176">
        <f>R57/J57</f>
        <v>0.81030000000000002</v>
      </c>
      <c r="T57" s="87">
        <f>_xlfn.IFS(S57&lt;=5%,1,AND(S57&gt;5%,S57&lt;=15%),2,AND(S57&gt;15%,S57&lt;=30%),3,AND(S57&gt;30%,S57&lt;=50%),4,S57&gt;50%,5)</f>
        <v>5</v>
      </c>
      <c r="U57" s="89">
        <f>AVERAGE(Q57,T57)</f>
        <v>4</v>
      </c>
      <c r="V57" s="179"/>
      <c r="W57" s="89">
        <f>AVERAGE(M57,U57)</f>
        <v>4.5</v>
      </c>
      <c r="X57" s="87" t="str">
        <f>_xlfn.IFS(AND(W57&gt;4,W57&lt;=5),"VERY HIGH",AND(W57&gt;3,W57&lt;=4),"HIGH",AND(W57&gt;2,W57&lt;=3),"MODERATE",AND(W57&gt;1,W57&lt;=2),"LOW",W57&lt;=1,"VERY LOW")</f>
        <v>VERY HIGH</v>
      </c>
      <c r="Y57" s="88" t="s">
        <v>90</v>
      </c>
      <c r="Z57" s="87">
        <v>4</v>
      </c>
      <c r="AA57" s="88" t="s">
        <v>91</v>
      </c>
      <c r="AB57" s="87">
        <v>2</v>
      </c>
      <c r="AC57" s="88" t="s">
        <v>92</v>
      </c>
      <c r="AD57" s="87">
        <v>4</v>
      </c>
      <c r="AE57" s="88" t="s">
        <v>93</v>
      </c>
      <c r="AF57" s="87">
        <v>4</v>
      </c>
      <c r="AG57" s="88" t="s">
        <v>89</v>
      </c>
      <c r="AH57" s="87">
        <v>4</v>
      </c>
      <c r="AI57" s="88" t="s">
        <v>88</v>
      </c>
      <c r="AJ57" s="87">
        <v>4</v>
      </c>
      <c r="AK57" s="89">
        <f>AVERAGE(Z57,AB57,AD57,AF57,AH57,AJ57)</f>
        <v>3.6666666666666665</v>
      </c>
      <c r="AL57" s="179"/>
      <c r="AM57" s="89">
        <f>W57/AK57</f>
        <v>1.2272727272727273</v>
      </c>
      <c r="AN57" s="87" t="str">
        <f>_xlfn.IFS(AM57&lt;=1,"LOW",AND(AM57&gt;1,AM57&lt;=2),"MEDIUM LOW",AND(AM57&gt;2,AM57&lt;=3),"MEDIUM",AND(AM57&gt;3,AM57&lt;=4),"MEDIUM HIGH",AND(AM57&gt;4,AM57&lt;=5),"HIGH")</f>
        <v>MEDIUM LOW</v>
      </c>
      <c r="AO57" s="87">
        <v>3</v>
      </c>
      <c r="AP57" s="87">
        <f>AO57*C57</f>
        <v>18</v>
      </c>
      <c r="AQ57" s="87" t="str">
        <f>_xlfn.IFS(AP57&lt;=5,"LOW RISK",AND(AP57&gt;5,AP57&lt;=12),"MODERATE RISK",AP57&gt;12,"HIGH RISK")</f>
        <v>HIGH RISK</v>
      </c>
    </row>
    <row r="58" spans="1:43" s="196" customFormat="1" ht="56.25">
      <c r="A58" s="195"/>
      <c r="B58" s="170" t="s">
        <v>230</v>
      </c>
      <c r="C58" s="170">
        <v>6</v>
      </c>
      <c r="D58" s="184"/>
      <c r="E58" s="170" t="s">
        <v>316</v>
      </c>
      <c r="F58" s="180" t="s">
        <v>271</v>
      </c>
      <c r="G58" s="181" t="s">
        <v>303</v>
      </c>
      <c r="H58" s="182">
        <f>_xlfn.IFS(G58="Barangay road
City road",CEILING(2600000*1,1000),G58="Barangay road
City road
National road",CEILING(2600000*2,1000),G58="Barangay road
National road",CEILING(2600000*2,1000),G58="Barangay road",CEILING(2600000*1,1000),G58="City road",CEILING(2600000*1,1000),G58="Barangay road
City road",CEILING(2600000*1,1000),G58="National road",CEILING(2600000*2,1000),G58="Barangay road
NIA
Provincial road",CEILING(2600000*1,1000),G58="Barangay road
NIA
National road",CEILING(2600000*2,1000),G58="Barangay road
Private road
Provincial road",CEILING(2600000*1,1000),G58="Barangay road
Private road
Provincial road
National road",CEILING(2600000*2,1000),G58="Barangay road
NIA
National road
Provincial road",CEILING(2600000*2,1000),G58="Barangay road
Provincial road",CEILING(2600000*1,1000),G58="Barangay road
City road
National road
Provincial road",CEILING(2600000*2,1000),G58="Barangay road
National road
Provincial road",CEILING(2600000*2,1000))</f>
        <v>2600000</v>
      </c>
      <c r="I58" s="204">
        <v>9.00014</v>
      </c>
      <c r="J58" s="183">
        <v>0.63432620000000006</v>
      </c>
      <c r="K58" s="182">
        <f>H58*J58</f>
        <v>1649248.12</v>
      </c>
      <c r="L58" s="175">
        <f t="shared" si="0"/>
        <v>7.0479592539671607E-2</v>
      </c>
      <c r="M58" s="170">
        <f>_xlfn.IFS(L58&lt;=5%,1,AND(L58&gt;5%,L58&lt;=15%),2,AND(L58&gt;15%,L58&lt;=30%),3,AND(L58&gt;30%,L58&lt;=50%),4,L58&gt;50%,5)</f>
        <v>2</v>
      </c>
      <c r="N58" s="184"/>
      <c r="O58" s="191">
        <f>J58*P58</f>
        <v>1.4716367840000001E-2</v>
      </c>
      <c r="P58" s="192">
        <v>2.3199999999999998E-2</v>
      </c>
      <c r="Q58" s="170">
        <f>_xlfn.IFS(P58&lt;=5%,1,AND(P58&gt;5%,P58&lt;=15%),2,AND(P58&gt;15%,P58&lt;=30%),3,AND(P58&gt;30%,P58&lt;=50%),4,P58&gt;50%,5)</f>
        <v>1</v>
      </c>
      <c r="R58" s="191">
        <f>J58-O58</f>
        <v>0.6196098321600001</v>
      </c>
      <c r="S58" s="192">
        <f>R58/J58</f>
        <v>0.9768</v>
      </c>
      <c r="T58" s="170">
        <f>_xlfn.IFS(S58&lt;=5%,1,AND(S58&gt;5%,S58&lt;=15%),2,AND(S58&gt;15%,S58&lt;=30%),3,AND(S58&gt;30%,S58&lt;=50%),4,S58&gt;50%,5)</f>
        <v>5</v>
      </c>
      <c r="U58" s="193">
        <f>AVERAGE(Q58,T58)</f>
        <v>3</v>
      </c>
      <c r="V58" s="184"/>
      <c r="W58" s="193">
        <f>AVERAGE(M58,U58)</f>
        <v>2.5</v>
      </c>
      <c r="X58" s="170" t="str">
        <f>_xlfn.IFS(AND(W58&gt;4,W58&lt;=5),"VERY HIGH",AND(W58&gt;3,W58&lt;=4),"HIGH",AND(W58&gt;2,W58&lt;=3),"MODERATE",AND(W58&gt;1,W58&lt;=2),"LOW",W58&lt;=1,"VERY LOW")</f>
        <v>MODERATE</v>
      </c>
      <c r="Y58" s="194" t="s">
        <v>90</v>
      </c>
      <c r="Z58" s="170">
        <v>4</v>
      </c>
      <c r="AA58" s="194" t="s">
        <v>91</v>
      </c>
      <c r="AB58" s="170">
        <v>2</v>
      </c>
      <c r="AC58" s="194" t="s">
        <v>92</v>
      </c>
      <c r="AD58" s="170">
        <v>4</v>
      </c>
      <c r="AE58" s="194" t="s">
        <v>93</v>
      </c>
      <c r="AF58" s="170">
        <v>4</v>
      </c>
      <c r="AG58" s="194" t="s">
        <v>89</v>
      </c>
      <c r="AH58" s="170">
        <v>4</v>
      </c>
      <c r="AI58" s="194" t="s">
        <v>88</v>
      </c>
      <c r="AJ58" s="170">
        <v>4</v>
      </c>
      <c r="AK58" s="193">
        <f>AVERAGE(Z58,AB58,AD58,AF58,AH58,AJ58)</f>
        <v>3.6666666666666665</v>
      </c>
      <c r="AL58" s="184"/>
      <c r="AM58" s="193">
        <f>W58/AK58</f>
        <v>0.68181818181818188</v>
      </c>
      <c r="AN58" s="170" t="str">
        <f>_xlfn.IFS(AM58&lt;=1,"LOW",AND(AM58&gt;1,AM58&lt;=2),"MEDIUM LOW",AND(AM58&gt;2,AM58&lt;=3),"MEDIUM",AND(AM58&gt;3,AM58&lt;=4),"MEDIUM HIGH",AND(AM58&gt;4,AM58&lt;=5),"HIGH")</f>
        <v>LOW</v>
      </c>
      <c r="AO58" s="170">
        <v>1</v>
      </c>
      <c r="AP58" s="170">
        <f>AO58*C58</f>
        <v>6</v>
      </c>
      <c r="AQ58" s="170" t="str">
        <f>_xlfn.IFS(AP58&lt;=5,"LOW RISK",AND(AP58&gt;5,AP58&lt;=12),"MODERATE RISK",AP58&gt;12,"HIGH RISK")</f>
        <v>MODERATE RISK</v>
      </c>
    </row>
    <row r="59" spans="1:43" s="196" customFormat="1" ht="56.25">
      <c r="A59" s="195"/>
      <c r="B59" s="170" t="s">
        <v>230</v>
      </c>
      <c r="C59" s="170">
        <v>6</v>
      </c>
      <c r="D59" s="184"/>
      <c r="E59" s="170" t="s">
        <v>316</v>
      </c>
      <c r="F59" s="180" t="s">
        <v>272</v>
      </c>
      <c r="G59" s="181" t="s">
        <v>309</v>
      </c>
      <c r="H59" s="182">
        <f>_xlfn.IFS(G59="Barangay road
City road",CEILING(2600000*1,1000),G59="Barangay road
City road
National road",CEILING(2600000*2,1000),G59="Barangay road
National road",CEILING(2600000*2,1000),G59="Barangay road",CEILING(2600000*1,1000),G59="City road",CEILING(2600000*1,1000),G59="Barangay road
City road",CEILING(2600000*1,1000),G59="National road",CEILING(2600000*2,1000),G59="Barangay road
NIA
Provincial road",CEILING(2600000*1,1000),G59="Barangay road
NIA
National road",CEILING(2600000*2,1000),G59="Barangay road
Private road
Provincial road",CEILING(2600000*1,1000),G59="Barangay road
Private road
Provincial road
National road",CEILING(2600000*2,1000),G59="Barangay road
NIA
National road
Provincial road",CEILING(2600000*2,1000),G59="Barangay road
Provincial road",CEILING(2600000*1,1000),G59="Barangay road
City road
National road
Provincial road",CEILING(2600000*2,1000),G59="Barangay road
National road
Provincial road",CEILING(2600000*2,1000))</f>
        <v>2600000</v>
      </c>
      <c r="I59" s="204">
        <v>16.02581</v>
      </c>
      <c r="J59" s="183">
        <v>13.186126999999999</v>
      </c>
      <c r="K59" s="182">
        <f>H59*J59</f>
        <v>34283930.199999996</v>
      </c>
      <c r="L59" s="175">
        <f t="shared" si="0"/>
        <v>0.82280564913723542</v>
      </c>
      <c r="M59" s="170">
        <f>_xlfn.IFS(L59&lt;=5%,1,AND(L59&gt;5%,L59&lt;=15%),2,AND(L59&gt;15%,L59&lt;=30%),3,AND(L59&gt;30%,L59&lt;=50%),4,L59&gt;50%,5)</f>
        <v>5</v>
      </c>
      <c r="N59" s="184"/>
      <c r="O59" s="191">
        <f>J59*P59</f>
        <v>0.69622750559999991</v>
      </c>
      <c r="P59" s="192">
        <v>5.28E-2</v>
      </c>
      <c r="Q59" s="170">
        <f>_xlfn.IFS(P59&lt;=5%,1,AND(P59&gt;5%,P59&lt;=15%),2,AND(P59&gt;15%,P59&lt;=30%),3,AND(P59&gt;30%,P59&lt;=50%),4,P59&gt;50%,5)</f>
        <v>2</v>
      </c>
      <c r="R59" s="191">
        <f>J59-O59</f>
        <v>12.489899494399999</v>
      </c>
      <c r="S59" s="192">
        <f>R59/J59</f>
        <v>0.94720000000000004</v>
      </c>
      <c r="T59" s="170">
        <f>_xlfn.IFS(S59&lt;=5%,1,AND(S59&gt;5%,S59&lt;=15%),2,AND(S59&gt;15%,S59&lt;=30%),3,AND(S59&gt;30%,S59&lt;=50%),4,S59&gt;50%,5)</f>
        <v>5</v>
      </c>
      <c r="U59" s="193">
        <f>AVERAGE(Q59,T59)</f>
        <v>3.5</v>
      </c>
      <c r="V59" s="184"/>
      <c r="W59" s="193">
        <f>AVERAGE(M59,U59)</f>
        <v>4.25</v>
      </c>
      <c r="X59" s="170" t="str">
        <f>_xlfn.IFS(AND(W59&gt;4,W59&lt;=5),"VERY HIGH",AND(W59&gt;3,W59&lt;=4),"HIGH",AND(W59&gt;2,W59&lt;=3),"MODERATE",AND(W59&gt;1,W59&lt;=2),"LOW",W59&lt;=1,"VERY LOW")</f>
        <v>VERY HIGH</v>
      </c>
      <c r="Y59" s="194" t="s">
        <v>90</v>
      </c>
      <c r="Z59" s="170">
        <v>4</v>
      </c>
      <c r="AA59" s="194" t="s">
        <v>91</v>
      </c>
      <c r="AB59" s="170">
        <v>2</v>
      </c>
      <c r="AC59" s="194" t="s">
        <v>92</v>
      </c>
      <c r="AD59" s="170">
        <v>4</v>
      </c>
      <c r="AE59" s="194" t="s">
        <v>93</v>
      </c>
      <c r="AF59" s="170">
        <v>4</v>
      </c>
      <c r="AG59" s="194" t="s">
        <v>89</v>
      </c>
      <c r="AH59" s="170">
        <v>4</v>
      </c>
      <c r="AI59" s="194" t="s">
        <v>88</v>
      </c>
      <c r="AJ59" s="170">
        <v>4</v>
      </c>
      <c r="AK59" s="193">
        <f>AVERAGE(Z59,AB59,AD59,AF59,AH59,AJ59)</f>
        <v>3.6666666666666665</v>
      </c>
      <c r="AL59" s="184"/>
      <c r="AM59" s="193">
        <f>W59/AK59</f>
        <v>1.1590909090909092</v>
      </c>
      <c r="AN59" s="170" t="str">
        <f>_xlfn.IFS(AM59&lt;=1,"LOW",AND(AM59&gt;1,AM59&lt;=2),"MEDIUM LOW",AND(AM59&gt;2,AM59&lt;=3),"MEDIUM",AND(AM59&gt;3,AM59&lt;=4),"MEDIUM HIGH",AND(AM59&gt;4,AM59&lt;=5),"HIGH")</f>
        <v>MEDIUM LOW</v>
      </c>
      <c r="AO59" s="170">
        <v>1</v>
      </c>
      <c r="AP59" s="170">
        <f>AO59*C59</f>
        <v>6</v>
      </c>
      <c r="AQ59" s="170" t="str">
        <f>_xlfn.IFS(AP59&lt;=5,"LOW RISK",AND(AP59&gt;5,AP59&lt;=12),"MODERATE RISK",AP59&gt;12,"HIGH RISK")</f>
        <v>MODERATE RISK</v>
      </c>
    </row>
    <row r="60" spans="1:43" s="196" customFormat="1" ht="56.25">
      <c r="A60" s="195"/>
      <c r="B60" s="170" t="s">
        <v>230</v>
      </c>
      <c r="C60" s="170">
        <v>6</v>
      </c>
      <c r="D60" s="184"/>
      <c r="E60" s="170" t="s">
        <v>316</v>
      </c>
      <c r="F60" s="180" t="s">
        <v>273</v>
      </c>
      <c r="G60" s="181" t="s">
        <v>303</v>
      </c>
      <c r="H60" s="182">
        <f>_xlfn.IFS(G60="Barangay road
City road",CEILING(2600000*1,1000),G60="Barangay road
City road
National road",CEILING(2600000*2,1000),G60="Barangay road
National road",CEILING(2600000*2,1000),G60="Barangay road",CEILING(2600000*1,1000),G60="City road",CEILING(2600000*1,1000),G60="Barangay road
City road",CEILING(2600000*1,1000),G60="National road",CEILING(2600000*2,1000),G60="Barangay road
NIA
Provincial road",CEILING(2600000*1,1000),G60="Barangay road
NIA
National road",CEILING(2600000*2,1000),G60="Barangay road
Private road
Provincial road",CEILING(2600000*1,1000),G60="Barangay road
Private road
Provincial road
National road",CEILING(2600000*2,1000),G60="Barangay road
NIA
National road
Provincial road",CEILING(2600000*2,1000),G60="Barangay road
Provincial road",CEILING(2600000*1,1000),G60="Barangay road
City road
National road
Provincial road",CEILING(2600000*2,1000),G60="Barangay road
National road
Provincial road",CEILING(2600000*2,1000))</f>
        <v>2600000</v>
      </c>
      <c r="I60" s="204">
        <v>22.753499999999999</v>
      </c>
      <c r="J60" s="183">
        <v>1.4132449999999999</v>
      </c>
      <c r="K60" s="182">
        <f>H60*J60</f>
        <v>3674436.9999999995</v>
      </c>
      <c r="L60" s="175">
        <f t="shared" si="0"/>
        <v>6.2111103786230686E-2</v>
      </c>
      <c r="M60" s="170">
        <f>_xlfn.IFS(L60&lt;=5%,1,AND(L60&gt;5%,L60&lt;=15%),2,AND(L60&gt;15%,L60&lt;=30%),3,AND(L60&gt;30%,L60&lt;=50%),4,L60&gt;50%,5)</f>
        <v>2</v>
      </c>
      <c r="N60" s="184"/>
      <c r="O60" s="191">
        <f>J60*P60</f>
        <v>2.1057350499999999E-2</v>
      </c>
      <c r="P60" s="192">
        <v>1.49E-2</v>
      </c>
      <c r="Q60" s="170">
        <f>_xlfn.IFS(P60&lt;=5%,1,AND(P60&gt;5%,P60&lt;=15%),2,AND(P60&gt;15%,P60&lt;=30%),3,AND(P60&gt;30%,P60&lt;=50%),4,P60&gt;50%,5)</f>
        <v>1</v>
      </c>
      <c r="R60" s="191">
        <f>J60-O60</f>
        <v>1.3921876494999998</v>
      </c>
      <c r="S60" s="192">
        <f>R60/J60</f>
        <v>0.98509999999999998</v>
      </c>
      <c r="T60" s="170">
        <f>_xlfn.IFS(S60&lt;=5%,1,AND(S60&gt;5%,S60&lt;=15%),2,AND(S60&gt;15%,S60&lt;=30%),3,AND(S60&gt;30%,S60&lt;=50%),4,S60&gt;50%,5)</f>
        <v>5</v>
      </c>
      <c r="U60" s="193">
        <f>AVERAGE(Q60,T60)</f>
        <v>3</v>
      </c>
      <c r="V60" s="184"/>
      <c r="W60" s="193">
        <f>AVERAGE(M60,U60)</f>
        <v>2.5</v>
      </c>
      <c r="X60" s="170" t="str">
        <f>_xlfn.IFS(AND(W60&gt;4,W60&lt;=5),"VERY HIGH",AND(W60&gt;3,W60&lt;=4),"HIGH",AND(W60&gt;2,W60&lt;=3),"MODERATE",AND(W60&gt;1,W60&lt;=2),"LOW",W60&lt;=1,"VERY LOW")</f>
        <v>MODERATE</v>
      </c>
      <c r="Y60" s="194" t="s">
        <v>90</v>
      </c>
      <c r="Z60" s="170">
        <v>4</v>
      </c>
      <c r="AA60" s="194" t="s">
        <v>91</v>
      </c>
      <c r="AB60" s="170">
        <v>2</v>
      </c>
      <c r="AC60" s="194" t="s">
        <v>92</v>
      </c>
      <c r="AD60" s="170">
        <v>4</v>
      </c>
      <c r="AE60" s="194" t="s">
        <v>93</v>
      </c>
      <c r="AF60" s="170">
        <v>4</v>
      </c>
      <c r="AG60" s="194" t="s">
        <v>89</v>
      </c>
      <c r="AH60" s="170">
        <v>4</v>
      </c>
      <c r="AI60" s="194" t="s">
        <v>88</v>
      </c>
      <c r="AJ60" s="170">
        <v>4</v>
      </c>
      <c r="AK60" s="193">
        <f>AVERAGE(Z60,AB60,AD60,AF60,AH60,AJ60)</f>
        <v>3.6666666666666665</v>
      </c>
      <c r="AL60" s="184"/>
      <c r="AM60" s="193">
        <f>W60/AK60</f>
        <v>0.68181818181818188</v>
      </c>
      <c r="AN60" s="170" t="str">
        <f>_xlfn.IFS(AM60&lt;=1,"LOW",AND(AM60&gt;1,AM60&lt;=2),"MEDIUM LOW",AND(AM60&gt;2,AM60&lt;=3),"MEDIUM",AND(AM60&gt;3,AM60&lt;=4),"MEDIUM HIGH",AND(AM60&gt;4,AM60&lt;=5),"HIGH")</f>
        <v>LOW</v>
      </c>
      <c r="AO60" s="170">
        <v>1</v>
      </c>
      <c r="AP60" s="170">
        <f>AO60*C60</f>
        <v>6</v>
      </c>
      <c r="AQ60" s="170" t="str">
        <f>_xlfn.IFS(AP60&lt;=5,"LOW RISK",AND(AP60&gt;5,AP60&lt;=12),"MODERATE RISK",AP60&gt;12,"HIGH RISK")</f>
        <v>MODERATE RISK</v>
      </c>
    </row>
    <row r="61" spans="1:43" s="196" customFormat="1" ht="56.25">
      <c r="A61" s="195"/>
      <c r="B61" s="170" t="s">
        <v>230</v>
      </c>
      <c r="C61" s="170">
        <v>6</v>
      </c>
      <c r="D61" s="184"/>
      <c r="E61" s="170" t="s">
        <v>318</v>
      </c>
      <c r="F61" s="180" t="s">
        <v>274</v>
      </c>
      <c r="G61" s="181" t="s">
        <v>301</v>
      </c>
      <c r="H61" s="182">
        <f>_xlfn.IFS(G61="Barangay road
City road",CEILING(2600000*1,1000),G61="Barangay road
City road
National road",CEILING(2600000*2,1000),G61="Barangay road
National road",CEILING(2600000*2,1000),G61="Barangay road",CEILING(2600000*1,1000),G61="City road",CEILING(2600000*1,1000),G61="Barangay road
City road",CEILING(2600000*1,1000),G61="National road",CEILING(2600000*2,1000),G61="Barangay road
NIA
Provincial road",CEILING(2600000*1,1000),G61="Barangay road
NIA
National road",CEILING(2600000*2,1000),G61="Barangay road
Private road
Provincial road",CEILING(2600000*1,1000),G61="Barangay road
Private road
Provincial road
National road",CEILING(2600000*2,1000),G61="Barangay road
NIA
National road
Provincial road",CEILING(2600000*2,1000),G61="Barangay road
Provincial road",CEILING(2600000*1,1000),G61="Barangay road
City road
National road
Provincial road",CEILING(2600000*2,1000),G61="Barangay road
National road
Provincial road",CEILING(2600000*2,1000))</f>
        <v>5200000</v>
      </c>
      <c r="I61" s="204">
        <v>9.1214209999999998</v>
      </c>
      <c r="J61" s="183">
        <v>9.1214209999999998</v>
      </c>
      <c r="K61" s="182">
        <f>H61*J61</f>
        <v>47431389.199999996</v>
      </c>
      <c r="L61" s="175">
        <f t="shared" si="0"/>
        <v>1</v>
      </c>
      <c r="M61" s="170">
        <f>_xlfn.IFS(L61&lt;=5%,1,AND(L61&gt;5%,L61&lt;=15%),2,AND(L61&gt;15%,L61&lt;=30%),3,AND(L61&gt;30%,L61&lt;=50%),4,L61&gt;50%,5)</f>
        <v>5</v>
      </c>
      <c r="N61" s="184"/>
      <c r="O61" s="90">
        <f>J61*P61</f>
        <v>0.91943923679999995</v>
      </c>
      <c r="P61" s="176">
        <v>0.1008</v>
      </c>
      <c r="Q61" s="87">
        <f>_xlfn.IFS(P61&lt;=5%,1,AND(P61&gt;5%,P61&lt;=15%),2,AND(P61&gt;15%,P61&lt;=30%),3,AND(P61&gt;30%,P61&lt;=50%),4,P61&gt;50%,5)</f>
        <v>2</v>
      </c>
      <c r="R61" s="90">
        <f>J61-O61</f>
        <v>8.2019817631999992</v>
      </c>
      <c r="S61" s="176">
        <f>R61/J61</f>
        <v>0.89919999999999989</v>
      </c>
      <c r="T61" s="87">
        <f>_xlfn.IFS(S61&lt;=5%,1,AND(S61&gt;5%,S61&lt;=15%),2,AND(S61&gt;15%,S61&lt;=30%),3,AND(S61&gt;30%,S61&lt;=50%),4,S61&gt;50%,5)</f>
        <v>5</v>
      </c>
      <c r="U61" s="89">
        <f>AVERAGE(Q61,T61)</f>
        <v>3.5</v>
      </c>
      <c r="V61" s="179"/>
      <c r="W61" s="89">
        <f>AVERAGE(M61,U61)</f>
        <v>4.25</v>
      </c>
      <c r="X61" s="87" t="str">
        <f>_xlfn.IFS(AND(W61&gt;4,W61&lt;=5),"VERY HIGH",AND(W61&gt;3,W61&lt;=4),"HIGH",AND(W61&gt;2,W61&lt;=3),"MODERATE",AND(W61&gt;1,W61&lt;=2),"LOW",W61&lt;=1,"VERY LOW")</f>
        <v>VERY HIGH</v>
      </c>
      <c r="Y61" s="88" t="s">
        <v>90</v>
      </c>
      <c r="Z61" s="87">
        <v>4</v>
      </c>
      <c r="AA61" s="88" t="s">
        <v>91</v>
      </c>
      <c r="AB61" s="87">
        <v>2</v>
      </c>
      <c r="AC61" s="88" t="s">
        <v>92</v>
      </c>
      <c r="AD61" s="87">
        <v>4</v>
      </c>
      <c r="AE61" s="88" t="s">
        <v>93</v>
      </c>
      <c r="AF61" s="87">
        <v>4</v>
      </c>
      <c r="AG61" s="88" t="s">
        <v>89</v>
      </c>
      <c r="AH61" s="87">
        <v>4</v>
      </c>
      <c r="AI61" s="88" t="s">
        <v>88</v>
      </c>
      <c r="AJ61" s="87">
        <v>4</v>
      </c>
      <c r="AK61" s="89">
        <f>AVERAGE(Z61,AB61,AD61,AF61,AH61,AJ61)</f>
        <v>3.6666666666666665</v>
      </c>
      <c r="AL61" s="179"/>
      <c r="AM61" s="89">
        <f>W61/AK61</f>
        <v>1.1590909090909092</v>
      </c>
      <c r="AN61" s="87" t="str">
        <f>_xlfn.IFS(AM61&lt;=1,"LOW",AND(AM61&gt;1,AM61&lt;=2),"MEDIUM LOW",AND(AM61&gt;2,AM61&lt;=3),"MEDIUM",AND(AM61&gt;3,AM61&lt;=4),"MEDIUM HIGH",AND(AM61&gt;4,AM61&lt;=5),"HIGH")</f>
        <v>MEDIUM LOW</v>
      </c>
      <c r="AO61" s="87">
        <v>3</v>
      </c>
      <c r="AP61" s="87">
        <f>AO61*C61</f>
        <v>18</v>
      </c>
      <c r="AQ61" s="87" t="str">
        <f>_xlfn.IFS(AP61&lt;=5,"LOW RISK",AND(AP61&gt;5,AP61&lt;=12),"MODERATE RISK",AP61&gt;12,"HIGH RISK")</f>
        <v>HIGH RISK</v>
      </c>
    </row>
    <row r="62" spans="1:43" s="196" customFormat="1" ht="56.25">
      <c r="A62" s="195"/>
      <c r="B62" s="170" t="s">
        <v>230</v>
      </c>
      <c r="C62" s="170">
        <v>6</v>
      </c>
      <c r="D62" s="184"/>
      <c r="E62" s="170" t="s">
        <v>299</v>
      </c>
      <c r="F62" s="180" t="s">
        <v>45</v>
      </c>
      <c r="G62" s="181" t="s">
        <v>311</v>
      </c>
      <c r="H62" s="182">
        <f>_xlfn.IFS(G62="Barangay road
City road",CEILING(2600000*1,1000),G62="Barangay road
City road
National road",CEILING(2600000*2,1000),G62="Barangay road
National road",CEILING(2600000*2,1000),G62="Barangay road",CEILING(2600000*1,1000),G62="City road",CEILING(2600000*1,1000),G62="Barangay road
City road",CEILING(2600000*1,1000),G62="National road",CEILING(2600000*2,1000),G62="Barangay road
NIA
Provincial road",CEILING(2600000*1,1000),G62="Barangay road
NIA
National road",CEILING(2600000*2,1000),G62="Barangay road
Private road
Provincial road",CEILING(2600000*1,1000),G62="Barangay road
Private road
Provincial road
National road",CEILING(2600000*2,1000),G62="Barangay road
NIA
National road
Provincial road",CEILING(2600000*2,1000),G62="Barangay road
Provincial road",CEILING(2600000*1,1000),G62="Barangay road
City road
National road
Provincial road",CEILING(2600000*2,1000),G62="Barangay road
National road
Provincial road",CEILING(2600000*2,1000))</f>
        <v>5200000</v>
      </c>
      <c r="I62" s="204">
        <v>10.306303</v>
      </c>
      <c r="J62" s="183">
        <v>10.306303</v>
      </c>
      <c r="K62" s="182">
        <f>H62*J62</f>
        <v>53592775.600000001</v>
      </c>
      <c r="L62" s="175">
        <f t="shared" si="0"/>
        <v>1</v>
      </c>
      <c r="M62" s="170">
        <f>_xlfn.IFS(L62&lt;=5%,1,AND(L62&gt;5%,L62&lt;=15%),2,AND(L62&gt;15%,L62&lt;=30%),3,AND(L62&gt;30%,L62&lt;=50%),4,L62&gt;50%,5)</f>
        <v>5</v>
      </c>
      <c r="N62" s="184"/>
      <c r="O62" s="90">
        <f>J62*P62</f>
        <v>6.4053673145000003</v>
      </c>
      <c r="P62" s="176">
        <v>0.62150000000000005</v>
      </c>
      <c r="Q62" s="87">
        <f>_xlfn.IFS(P62&lt;=5%,1,AND(P62&gt;5%,P62&lt;=15%),2,AND(P62&gt;15%,P62&lt;=30%),3,AND(P62&gt;30%,P62&lt;=50%),4,P62&gt;50%,5)</f>
        <v>5</v>
      </c>
      <c r="R62" s="90">
        <f>J62-O62</f>
        <v>3.9009356854999995</v>
      </c>
      <c r="S62" s="176">
        <f>R62/J62</f>
        <v>0.37849999999999995</v>
      </c>
      <c r="T62" s="87">
        <f>_xlfn.IFS(S62&lt;=5%,1,AND(S62&gt;5%,S62&lt;=15%),2,AND(S62&gt;15%,S62&lt;=30%),3,AND(S62&gt;30%,S62&lt;=50%),4,S62&gt;50%,5)</f>
        <v>4</v>
      </c>
      <c r="U62" s="89">
        <f>AVERAGE(Q62,T62)</f>
        <v>4.5</v>
      </c>
      <c r="V62" s="179"/>
      <c r="W62" s="89">
        <f>AVERAGE(M62,U62)</f>
        <v>4.75</v>
      </c>
      <c r="X62" s="87" t="str">
        <f>_xlfn.IFS(AND(W62&gt;4,W62&lt;=5),"VERY HIGH",AND(W62&gt;3,W62&lt;=4),"HIGH",AND(W62&gt;2,W62&lt;=3),"MODERATE",AND(W62&gt;1,W62&lt;=2),"LOW",W62&lt;=1,"VERY LOW")</f>
        <v>VERY HIGH</v>
      </c>
      <c r="Y62" s="88" t="s">
        <v>90</v>
      </c>
      <c r="Z62" s="87">
        <v>4</v>
      </c>
      <c r="AA62" s="88" t="s">
        <v>91</v>
      </c>
      <c r="AB62" s="87">
        <v>2</v>
      </c>
      <c r="AC62" s="88" t="s">
        <v>92</v>
      </c>
      <c r="AD62" s="87">
        <v>4</v>
      </c>
      <c r="AE62" s="88" t="s">
        <v>93</v>
      </c>
      <c r="AF62" s="87">
        <v>4</v>
      </c>
      <c r="AG62" s="88" t="s">
        <v>89</v>
      </c>
      <c r="AH62" s="87">
        <v>4</v>
      </c>
      <c r="AI62" s="88" t="s">
        <v>88</v>
      </c>
      <c r="AJ62" s="87">
        <v>4</v>
      </c>
      <c r="AK62" s="89">
        <f>AVERAGE(Z62,AB62,AD62,AF62,AH62,AJ62)</f>
        <v>3.6666666666666665</v>
      </c>
      <c r="AL62" s="179"/>
      <c r="AM62" s="89">
        <f>W62/AK62</f>
        <v>1.2954545454545454</v>
      </c>
      <c r="AN62" s="87" t="str">
        <f>_xlfn.IFS(AM62&lt;=1,"LOW",AND(AM62&gt;1,AM62&lt;=2),"MEDIUM LOW",AND(AM62&gt;2,AM62&lt;=3),"MEDIUM",AND(AM62&gt;3,AM62&lt;=4),"MEDIUM HIGH",AND(AM62&gt;4,AM62&lt;=5),"HIGH")</f>
        <v>MEDIUM LOW</v>
      </c>
      <c r="AO62" s="87">
        <f>VLOOKUP(F62,[2]FLOODING!$F$4:$AS$40,40,FALSE)</f>
        <v>4</v>
      </c>
      <c r="AP62" s="87">
        <f>AO62*C62</f>
        <v>24</v>
      </c>
      <c r="AQ62" s="87" t="str">
        <f>_xlfn.IFS(AP62&lt;=5,"LOW RISK",AND(AP62&gt;5,AP62&lt;=12),"MODERATE RISK",AP62&gt;12,"HIGH RISK")</f>
        <v>HIGH RISK</v>
      </c>
    </row>
    <row r="63" spans="1:43" s="196" customFormat="1" ht="56.25">
      <c r="A63" s="195"/>
      <c r="B63" s="170" t="s">
        <v>230</v>
      </c>
      <c r="C63" s="170">
        <v>6</v>
      </c>
      <c r="D63" s="184"/>
      <c r="E63" s="170" t="s">
        <v>315</v>
      </c>
      <c r="F63" s="180" t="s">
        <v>46</v>
      </c>
      <c r="G63" s="181" t="s">
        <v>300</v>
      </c>
      <c r="H63" s="182">
        <f>_xlfn.IFS(G63="Barangay road
City road",CEILING(2600000*1,1000),G63="Barangay road
City road
National road",CEILING(2600000*2,1000),G63="Barangay road
National road",CEILING(2600000*2,1000),G63="Barangay road",CEILING(2600000*1,1000),G63="City road",CEILING(2600000*1,1000),G63="Barangay road
City road",CEILING(2600000*1,1000),G63="National road",CEILING(2600000*2,1000),G63="Barangay road
NIA
Provincial road",CEILING(2600000*1,1000),G63="Barangay road
NIA
National road",CEILING(2600000*2,1000),G63="Barangay road
Private road
Provincial road",CEILING(2600000*1,1000),G63="Barangay road
Private road
Provincial road
National road",CEILING(2600000*2,1000),G63="Barangay road
NIA
National road
Provincial road",CEILING(2600000*2,1000),G63="Barangay road
Provincial road",CEILING(2600000*1,1000),G63="Barangay road
City road
National road
Provincial road",CEILING(2600000*2,1000),G63="Barangay road
National road
Provincial road",CEILING(2600000*2,1000))</f>
        <v>2600000</v>
      </c>
      <c r="I63" s="204">
        <v>5.9688800000000004</v>
      </c>
      <c r="J63" s="183">
        <v>5.9688784000000004</v>
      </c>
      <c r="K63" s="182">
        <f>H63*J63</f>
        <v>15519083.840000002</v>
      </c>
      <c r="L63" s="175">
        <f t="shared" si="0"/>
        <v>0.99999973194301106</v>
      </c>
      <c r="M63" s="170">
        <f>_xlfn.IFS(L63&lt;=5%,1,AND(L63&gt;5%,L63&lt;=15%),2,AND(L63&gt;15%,L63&lt;=30%),3,AND(L63&gt;30%,L63&lt;=50%),4,L63&gt;50%,5)</f>
        <v>5</v>
      </c>
      <c r="N63" s="184"/>
      <c r="O63" s="90">
        <f>J63*P63</f>
        <v>0.51272665456000011</v>
      </c>
      <c r="P63" s="176">
        <v>8.5900000000000004E-2</v>
      </c>
      <c r="Q63" s="87">
        <f>_xlfn.IFS(P63&lt;=5%,1,AND(P63&gt;5%,P63&lt;=15%),2,AND(P63&gt;15%,P63&lt;=30%),3,AND(P63&gt;30%,P63&lt;=50%),4,P63&gt;50%,5)</f>
        <v>2</v>
      </c>
      <c r="R63" s="90">
        <f>J63-O63</f>
        <v>5.4561517454400006</v>
      </c>
      <c r="S63" s="176">
        <f>R63/J63</f>
        <v>0.91410000000000002</v>
      </c>
      <c r="T63" s="87">
        <f>_xlfn.IFS(S63&lt;=5%,1,AND(S63&gt;5%,S63&lt;=15%),2,AND(S63&gt;15%,S63&lt;=30%),3,AND(S63&gt;30%,S63&lt;=50%),4,S63&gt;50%,5)</f>
        <v>5</v>
      </c>
      <c r="U63" s="89">
        <f>AVERAGE(Q63,T63)</f>
        <v>3.5</v>
      </c>
      <c r="V63" s="179"/>
      <c r="W63" s="89">
        <f>AVERAGE(M63,U63)</f>
        <v>4.25</v>
      </c>
      <c r="X63" s="87" t="str">
        <f>_xlfn.IFS(AND(W63&gt;4,W63&lt;=5),"VERY HIGH",AND(W63&gt;3,W63&lt;=4),"HIGH",AND(W63&gt;2,W63&lt;=3),"MODERATE",AND(W63&gt;1,W63&lt;=2),"LOW",W63&lt;=1,"VERY LOW")</f>
        <v>VERY HIGH</v>
      </c>
      <c r="Y63" s="88" t="s">
        <v>90</v>
      </c>
      <c r="Z63" s="87">
        <v>4</v>
      </c>
      <c r="AA63" s="88" t="s">
        <v>91</v>
      </c>
      <c r="AB63" s="87">
        <v>2</v>
      </c>
      <c r="AC63" s="88" t="s">
        <v>92</v>
      </c>
      <c r="AD63" s="87">
        <v>4</v>
      </c>
      <c r="AE63" s="88" t="s">
        <v>93</v>
      </c>
      <c r="AF63" s="87">
        <v>4</v>
      </c>
      <c r="AG63" s="88" t="s">
        <v>89</v>
      </c>
      <c r="AH63" s="87">
        <v>4</v>
      </c>
      <c r="AI63" s="88" t="s">
        <v>88</v>
      </c>
      <c r="AJ63" s="87">
        <v>4</v>
      </c>
      <c r="AK63" s="89">
        <f>AVERAGE(Z63,AB63,AD63,AF63,AH63,AJ63)</f>
        <v>3.6666666666666665</v>
      </c>
      <c r="AL63" s="179"/>
      <c r="AM63" s="89">
        <f>W63/AK63</f>
        <v>1.1590909090909092</v>
      </c>
      <c r="AN63" s="87" t="str">
        <f>_xlfn.IFS(AM63&lt;=1,"LOW",AND(AM63&gt;1,AM63&lt;=2),"MEDIUM LOW",AND(AM63&gt;2,AM63&lt;=3),"MEDIUM",AND(AM63&gt;3,AM63&lt;=4),"MEDIUM HIGH",AND(AM63&gt;4,AM63&lt;=5),"HIGH")</f>
        <v>MEDIUM LOW</v>
      </c>
      <c r="AO63" s="87">
        <v>1</v>
      </c>
      <c r="AP63" s="87">
        <f>AO63*C63</f>
        <v>6</v>
      </c>
      <c r="AQ63" s="87" t="str">
        <f>_xlfn.IFS(AP63&lt;=5,"LOW RISK",AND(AP63&gt;5,AP63&lt;=12),"MODERATE RISK",AP63&gt;12,"HIGH RISK")</f>
        <v>MODERATE RISK</v>
      </c>
    </row>
    <row r="64" spans="1:43" s="177" customFormat="1" ht="56.25">
      <c r="A64" s="178"/>
      <c r="B64" s="87" t="s">
        <v>230</v>
      </c>
      <c r="C64" s="87">
        <v>6</v>
      </c>
      <c r="D64" s="179"/>
      <c r="E64" s="170" t="s">
        <v>318</v>
      </c>
      <c r="F64" s="180" t="s">
        <v>275</v>
      </c>
      <c r="G64" s="181" t="s">
        <v>301</v>
      </c>
      <c r="H64" s="182">
        <f>_xlfn.IFS(G64="Barangay road
City road",CEILING(2600000*1,1000),G64="Barangay road
City road
National road",CEILING(2600000*2,1000),G64="Barangay road
National road",CEILING(2600000*2,1000),G64="Barangay road",CEILING(2600000*1,1000),G64="City road",CEILING(2600000*1,1000),G64="Barangay road
City road",CEILING(2600000*1,1000),G64="National road",CEILING(2600000*2,1000),G64="Barangay road
NIA
Provincial road",CEILING(2600000*1,1000),G64="Barangay road
NIA
National road",CEILING(2600000*2,1000),G64="Barangay road
Private road
Provincial road",CEILING(2600000*1,1000),G64="Barangay road
Private road
Provincial road
National road",CEILING(2600000*2,1000),G64="Barangay road
NIA
National road
Provincial road",CEILING(2600000*2,1000),G64="Barangay road
Provincial road",CEILING(2600000*1,1000),G64="Barangay road
City road
National road
Provincial road",CEILING(2600000*2,1000),G64="Barangay road
National road
Provincial road",CEILING(2600000*2,1000))</f>
        <v>5200000</v>
      </c>
      <c r="I64" s="204">
        <v>0.90195999999999987</v>
      </c>
      <c r="J64" s="183">
        <v>0.90196040000000011</v>
      </c>
      <c r="K64" s="182">
        <f>H64*J64</f>
        <v>4690194.080000001</v>
      </c>
      <c r="L64" s="175">
        <f t="shared" si="0"/>
        <v>1.0000004434786467</v>
      </c>
      <c r="M64" s="170">
        <f>_xlfn.IFS(L64&lt;=5%,1,AND(L64&gt;5%,L64&lt;=15%),2,AND(L64&gt;15%,L64&lt;=30%),3,AND(L64&gt;30%,L64&lt;=50%),4,L64&gt;50%,5)</f>
        <v>5</v>
      </c>
      <c r="N64" s="184"/>
      <c r="O64" s="90">
        <f>J64*P64</f>
        <v>0.71462322492000008</v>
      </c>
      <c r="P64" s="176">
        <v>0.7923</v>
      </c>
      <c r="Q64" s="87">
        <f>_xlfn.IFS(P64&lt;=5%,1,AND(P64&gt;5%,P64&lt;=15%),2,AND(P64&gt;15%,P64&lt;=30%),3,AND(P64&gt;30%,P64&lt;=50%),4,P64&gt;50%,5)</f>
        <v>5</v>
      </c>
      <c r="R64" s="90">
        <f>J64-O64</f>
        <v>0.18733717508000003</v>
      </c>
      <c r="S64" s="176">
        <f>R64/J64</f>
        <v>0.2077</v>
      </c>
      <c r="T64" s="87">
        <f>_xlfn.IFS(S64&lt;=5%,1,AND(S64&gt;5%,S64&lt;=15%),2,AND(S64&gt;15%,S64&lt;=30%),3,AND(S64&gt;30%,S64&lt;=50%),4,S64&gt;50%,5)</f>
        <v>3</v>
      </c>
      <c r="U64" s="89">
        <f>AVERAGE(Q64,T64)</f>
        <v>4</v>
      </c>
      <c r="V64" s="179"/>
      <c r="W64" s="89">
        <f>AVERAGE(M64,U64)</f>
        <v>4.5</v>
      </c>
      <c r="X64" s="87" t="str">
        <f>_xlfn.IFS(AND(W64&gt;4,W64&lt;=5),"VERY HIGH",AND(W64&gt;3,W64&lt;=4),"HIGH",AND(W64&gt;2,W64&lt;=3),"MODERATE",AND(W64&gt;1,W64&lt;=2),"LOW",W64&lt;=1,"VERY LOW")</f>
        <v>VERY HIGH</v>
      </c>
      <c r="Y64" s="88" t="s">
        <v>90</v>
      </c>
      <c r="Z64" s="87">
        <v>4</v>
      </c>
      <c r="AA64" s="88" t="s">
        <v>91</v>
      </c>
      <c r="AB64" s="87">
        <v>2</v>
      </c>
      <c r="AC64" s="88" t="s">
        <v>92</v>
      </c>
      <c r="AD64" s="87">
        <v>4</v>
      </c>
      <c r="AE64" s="88" t="s">
        <v>93</v>
      </c>
      <c r="AF64" s="87">
        <v>4</v>
      </c>
      <c r="AG64" s="88" t="s">
        <v>89</v>
      </c>
      <c r="AH64" s="87">
        <v>4</v>
      </c>
      <c r="AI64" s="88" t="s">
        <v>88</v>
      </c>
      <c r="AJ64" s="87">
        <v>4</v>
      </c>
      <c r="AK64" s="89">
        <f>AVERAGE(Z64,AB64,AD64,AF64,AH64,AJ64)</f>
        <v>3.6666666666666665</v>
      </c>
      <c r="AL64" s="179"/>
      <c r="AM64" s="89">
        <f>W64/AK64</f>
        <v>1.2272727272727273</v>
      </c>
      <c r="AN64" s="87" t="str">
        <f>_xlfn.IFS(AM64&lt;=1,"LOW",AND(AM64&gt;1,AM64&lt;=2),"MEDIUM LOW",AND(AM64&gt;2,AM64&lt;=3),"MEDIUM",AND(AM64&gt;3,AM64&lt;=4),"MEDIUM HIGH",AND(AM64&gt;4,AM64&lt;=5),"HIGH")</f>
        <v>MEDIUM LOW</v>
      </c>
      <c r="AO64" s="87">
        <v>3</v>
      </c>
      <c r="AP64" s="87">
        <f>AO64*C64</f>
        <v>18</v>
      </c>
      <c r="AQ64" s="87" t="str">
        <f>_xlfn.IFS(AP64&lt;=5,"LOW RISK",AND(AP64&gt;5,AP64&lt;=12),"MODERATE RISK",AP64&gt;12,"HIGH RISK")</f>
        <v>HIGH RISK</v>
      </c>
    </row>
    <row r="65" spans="1:43" s="177" customFormat="1" ht="56.25">
      <c r="A65" s="178"/>
      <c r="B65" s="87" t="s">
        <v>230</v>
      </c>
      <c r="C65" s="87">
        <v>6</v>
      </c>
      <c r="D65" s="179"/>
      <c r="E65" s="170" t="s">
        <v>316</v>
      </c>
      <c r="F65" s="180" t="s">
        <v>276</v>
      </c>
      <c r="G65" s="181" t="s">
        <v>309</v>
      </c>
      <c r="H65" s="182">
        <f>_xlfn.IFS(G65="Barangay road
City road",CEILING(2600000*1,1000),G65="Barangay road
City road
National road",CEILING(2600000*2,1000),G65="Barangay road
National road",CEILING(2600000*2,1000),G65="Barangay road",CEILING(2600000*1,1000),G65="City road",CEILING(2600000*1,1000),G65="Barangay road
City road",CEILING(2600000*1,1000),G65="National road",CEILING(2600000*2,1000),G65="Barangay road
NIA
Provincial road",CEILING(2600000*1,1000),G65="Barangay road
NIA
National road",CEILING(2600000*2,1000),G65="Barangay road
Private road
Provincial road",CEILING(2600000*1,1000),G65="Barangay road
Private road
Provincial road
National road",CEILING(2600000*2,1000),G65="Barangay road
NIA
National road
Provincial road",CEILING(2600000*2,1000),G65="Barangay road
Provincial road",CEILING(2600000*1,1000),G65="Barangay road
City road
National road
Provincial road",CEILING(2600000*2,1000),G65="Barangay road
National road
Provincial road",CEILING(2600000*2,1000))</f>
        <v>2600000</v>
      </c>
      <c r="I65" s="204">
        <v>35.805550000000004</v>
      </c>
      <c r="J65" s="183">
        <v>0.96111210000000002</v>
      </c>
      <c r="K65" s="182">
        <f>H65*J65</f>
        <v>2498891.46</v>
      </c>
      <c r="L65" s="175">
        <f t="shared" si="0"/>
        <v>2.6842545359588105E-2</v>
      </c>
      <c r="M65" s="170">
        <f>_xlfn.IFS(L65&lt;=5%,1,AND(L65&gt;5%,L65&lt;=15%),2,AND(L65&gt;15%,L65&lt;=30%),3,AND(L65&gt;30%,L65&lt;=50%),4,L65&gt;50%,5)</f>
        <v>1</v>
      </c>
      <c r="N65" s="184"/>
      <c r="O65" s="191">
        <f>J65*P65</f>
        <v>0</v>
      </c>
      <c r="P65" s="192">
        <v>0</v>
      </c>
      <c r="Q65" s="170">
        <f>_xlfn.IFS(P65&lt;=5%,1,AND(P65&gt;5%,P65&lt;=15%),2,AND(P65&gt;15%,P65&lt;=30%),3,AND(P65&gt;30%,P65&lt;=50%),4,P65&gt;50%,5)</f>
        <v>1</v>
      </c>
      <c r="R65" s="191">
        <f>J65-O65</f>
        <v>0.96111210000000002</v>
      </c>
      <c r="S65" s="192">
        <f>R65/J65</f>
        <v>1</v>
      </c>
      <c r="T65" s="170">
        <f>_xlfn.IFS(S65&lt;=5%,1,AND(S65&gt;5%,S65&lt;=15%),2,AND(S65&gt;15%,S65&lt;=30%),3,AND(S65&gt;30%,S65&lt;=50%),4,S65&gt;50%,5)</f>
        <v>5</v>
      </c>
      <c r="U65" s="193">
        <f>AVERAGE(Q65,T65)</f>
        <v>3</v>
      </c>
      <c r="V65" s="184"/>
      <c r="W65" s="193">
        <f>AVERAGE(M65,U65)</f>
        <v>2</v>
      </c>
      <c r="X65" s="170" t="str">
        <f>_xlfn.IFS(AND(W65&gt;4,W65&lt;=5),"VERY HIGH",AND(W65&gt;3,W65&lt;=4),"HIGH",AND(W65&gt;2,W65&lt;=3),"MODERATE",AND(W65&gt;1,W65&lt;=2),"LOW",W65&lt;=1,"VERY LOW")</f>
        <v>LOW</v>
      </c>
      <c r="Y65" s="194" t="s">
        <v>90</v>
      </c>
      <c r="Z65" s="170">
        <v>4</v>
      </c>
      <c r="AA65" s="194" t="s">
        <v>91</v>
      </c>
      <c r="AB65" s="170">
        <v>2</v>
      </c>
      <c r="AC65" s="194" t="s">
        <v>92</v>
      </c>
      <c r="AD65" s="170">
        <v>4</v>
      </c>
      <c r="AE65" s="194" t="s">
        <v>93</v>
      </c>
      <c r="AF65" s="170">
        <v>4</v>
      </c>
      <c r="AG65" s="194" t="s">
        <v>89</v>
      </c>
      <c r="AH65" s="170">
        <v>4</v>
      </c>
      <c r="AI65" s="194" t="s">
        <v>88</v>
      </c>
      <c r="AJ65" s="170">
        <v>4</v>
      </c>
      <c r="AK65" s="193">
        <f>AVERAGE(Z65,AB65,AD65,AF65,AH65,AJ65)</f>
        <v>3.6666666666666665</v>
      </c>
      <c r="AL65" s="184"/>
      <c r="AM65" s="193">
        <f>W65/AK65</f>
        <v>0.54545454545454553</v>
      </c>
      <c r="AN65" s="170" t="str">
        <f>_xlfn.IFS(AM65&lt;=1,"LOW",AND(AM65&gt;1,AM65&lt;=2),"MEDIUM LOW",AND(AM65&gt;2,AM65&lt;=3),"MEDIUM",AND(AM65&gt;3,AM65&lt;=4),"MEDIUM HIGH",AND(AM65&gt;4,AM65&lt;=5),"HIGH")</f>
        <v>LOW</v>
      </c>
      <c r="AO65" s="170">
        <v>1</v>
      </c>
      <c r="AP65" s="170">
        <f>AO65*C65</f>
        <v>6</v>
      </c>
      <c r="AQ65" s="170" t="str">
        <f>_xlfn.IFS(AP65&lt;=5,"LOW RISK",AND(AP65&gt;5,AP65&lt;=12),"MODERATE RISK",AP65&gt;12,"HIGH RISK")</f>
        <v>MODERATE RISK</v>
      </c>
    </row>
    <row r="66" spans="1:43" s="177" customFormat="1" ht="56.25">
      <c r="A66" s="178"/>
      <c r="B66" s="87" t="s">
        <v>230</v>
      </c>
      <c r="C66" s="87">
        <v>6</v>
      </c>
      <c r="D66" s="179"/>
      <c r="E66" s="170" t="s">
        <v>318</v>
      </c>
      <c r="F66" s="180" t="s">
        <v>229</v>
      </c>
      <c r="G66" s="181" t="s">
        <v>300</v>
      </c>
      <c r="H66" s="182">
        <f>_xlfn.IFS(G66="Barangay road
City road",CEILING(2600000*1,1000),G66="Barangay road
City road
National road",CEILING(2600000*2,1000),G66="Barangay road
National road",CEILING(2600000*2,1000),G66="Barangay road",CEILING(2600000*1,1000),G66="City road",CEILING(2600000*1,1000),G66="Barangay road
City road",CEILING(2600000*1,1000),G66="National road",CEILING(2600000*2,1000),G66="Barangay road
NIA
Provincial road",CEILING(2600000*1,1000),G66="Barangay road
NIA
National road",CEILING(2600000*2,1000),G66="Barangay road
Private road
Provincial road",CEILING(2600000*1,1000),G66="Barangay road
Private road
Provincial road
National road",CEILING(2600000*2,1000),G66="Barangay road
NIA
National road
Provincial road",CEILING(2600000*2,1000),G66="Barangay road
Provincial road",CEILING(2600000*1,1000),G66="Barangay road
City road
National road
Provincial road",CEILING(2600000*2,1000),G66="Barangay road
National road
Provincial road",CEILING(2600000*2,1000))</f>
        <v>2600000</v>
      </c>
      <c r="I66" s="204">
        <v>7.5422400000000005</v>
      </c>
      <c r="J66" s="183">
        <v>7.5422371800000008</v>
      </c>
      <c r="K66" s="182">
        <f>H66*J66</f>
        <v>19609816.668000001</v>
      </c>
      <c r="L66" s="175">
        <f t="shared" si="0"/>
        <v>0.99999962610577231</v>
      </c>
      <c r="M66" s="170">
        <f>_xlfn.IFS(L66&lt;=5%,1,AND(L66&gt;5%,L66&lt;=15%),2,AND(L66&gt;15%,L66&lt;=30%),3,AND(L66&gt;30%,L66&lt;=50%),4,L66&gt;50%,5)</f>
        <v>5</v>
      </c>
      <c r="N66" s="184"/>
      <c r="O66" s="90">
        <f>J66*P66</f>
        <v>5.1324924009900004</v>
      </c>
      <c r="P66" s="176">
        <v>0.68049999999999999</v>
      </c>
      <c r="Q66" s="87">
        <f>_xlfn.IFS(P66&lt;=5%,1,AND(P66&gt;5%,P66&lt;=15%),2,AND(P66&gt;15%,P66&lt;=30%),3,AND(P66&gt;30%,P66&lt;=50%),4,P66&gt;50%,5)</f>
        <v>5</v>
      </c>
      <c r="R66" s="90">
        <f>J66-O66</f>
        <v>2.4097447790100004</v>
      </c>
      <c r="S66" s="176">
        <f>R66/J66</f>
        <v>0.31950000000000001</v>
      </c>
      <c r="T66" s="87">
        <f>_xlfn.IFS(S66&lt;=5%,1,AND(S66&gt;5%,S66&lt;=15%),2,AND(S66&gt;15%,S66&lt;=30%),3,AND(S66&gt;30%,S66&lt;=50%),4,S66&gt;50%,5)</f>
        <v>4</v>
      </c>
      <c r="U66" s="89">
        <f>AVERAGE(Q66,T66)</f>
        <v>4.5</v>
      </c>
      <c r="V66" s="179"/>
      <c r="W66" s="89">
        <f>AVERAGE(M66,U66)</f>
        <v>4.75</v>
      </c>
      <c r="X66" s="87" t="str">
        <f>_xlfn.IFS(AND(W66&gt;4,W66&lt;=5),"VERY HIGH",AND(W66&gt;3,W66&lt;=4),"HIGH",AND(W66&gt;2,W66&lt;=3),"MODERATE",AND(W66&gt;1,W66&lt;=2),"LOW",W66&lt;=1,"VERY LOW")</f>
        <v>VERY HIGH</v>
      </c>
      <c r="Y66" s="88" t="s">
        <v>90</v>
      </c>
      <c r="Z66" s="87">
        <v>4</v>
      </c>
      <c r="AA66" s="88" t="s">
        <v>91</v>
      </c>
      <c r="AB66" s="87">
        <v>2</v>
      </c>
      <c r="AC66" s="88" t="s">
        <v>92</v>
      </c>
      <c r="AD66" s="87">
        <v>4</v>
      </c>
      <c r="AE66" s="88" t="s">
        <v>93</v>
      </c>
      <c r="AF66" s="87">
        <v>4</v>
      </c>
      <c r="AG66" s="88" t="s">
        <v>89</v>
      </c>
      <c r="AH66" s="87">
        <v>4</v>
      </c>
      <c r="AI66" s="88" t="s">
        <v>88</v>
      </c>
      <c r="AJ66" s="87">
        <v>4</v>
      </c>
      <c r="AK66" s="89">
        <f>AVERAGE(Z66,AB66,AD66,AF66,AH66,AJ66)</f>
        <v>3.6666666666666665</v>
      </c>
      <c r="AL66" s="179"/>
      <c r="AM66" s="89">
        <f>W66/AK66</f>
        <v>1.2954545454545454</v>
      </c>
      <c r="AN66" s="87" t="str">
        <f>_xlfn.IFS(AM66&lt;=1,"LOW",AND(AM66&gt;1,AM66&lt;=2),"MEDIUM LOW",AND(AM66&gt;2,AM66&lt;=3),"MEDIUM",AND(AM66&gt;3,AM66&lt;=4),"MEDIUM HIGH",AND(AM66&gt;4,AM66&lt;=5),"HIGH")</f>
        <v>MEDIUM LOW</v>
      </c>
      <c r="AO66" s="87">
        <v>3</v>
      </c>
      <c r="AP66" s="87">
        <f>AO66*C66</f>
        <v>18</v>
      </c>
      <c r="AQ66" s="87" t="str">
        <f>_xlfn.IFS(AP66&lt;=5,"LOW RISK",AND(AP66&gt;5,AP66&lt;=12),"MODERATE RISK",AP66&gt;12,"HIGH RISK")</f>
        <v>HIGH RISK</v>
      </c>
    </row>
    <row r="67" spans="1:43" s="177" customFormat="1" ht="56.25">
      <c r="A67" s="178"/>
      <c r="B67" s="87" t="s">
        <v>230</v>
      </c>
      <c r="C67" s="87">
        <v>6</v>
      </c>
      <c r="D67" s="179"/>
      <c r="E67" s="170" t="s">
        <v>318</v>
      </c>
      <c r="F67" s="180" t="s">
        <v>277</v>
      </c>
      <c r="G67" s="181" t="s">
        <v>300</v>
      </c>
      <c r="H67" s="182">
        <f>_xlfn.IFS(G67="Barangay road
City road",CEILING(2600000*1,1000),G67="Barangay road
City road
National road",CEILING(2600000*2,1000),G67="Barangay road
National road",CEILING(2600000*2,1000),G67="Barangay road",CEILING(2600000*1,1000),G67="City road",CEILING(2600000*1,1000),G67="Barangay road
City road",CEILING(2600000*1,1000),G67="National road",CEILING(2600000*2,1000),G67="Barangay road
NIA
Provincial road",CEILING(2600000*1,1000),G67="Barangay road
NIA
National road",CEILING(2600000*2,1000),G67="Barangay road
Private road
Provincial road",CEILING(2600000*1,1000),G67="Barangay road
Private road
Provincial road
National road",CEILING(2600000*2,1000),G67="Barangay road
NIA
National road
Provincial road",CEILING(2600000*2,1000),G67="Barangay road
Provincial road",CEILING(2600000*1,1000),G67="Barangay road
City road
National road
Provincial road",CEILING(2600000*2,1000),G67="Barangay road
National road
Provincial road",CEILING(2600000*2,1000))</f>
        <v>2600000</v>
      </c>
      <c r="I67" s="204">
        <v>3.3693600000000004</v>
      </c>
      <c r="J67" s="183">
        <v>3.3693574999999996</v>
      </c>
      <c r="K67" s="182">
        <f>H67*J67</f>
        <v>8760329.4999999981</v>
      </c>
      <c r="L67" s="175">
        <f t="shared" si="0"/>
        <v>0.99999925801932688</v>
      </c>
      <c r="M67" s="170">
        <f>_xlfn.IFS(L67&lt;=5%,1,AND(L67&gt;5%,L67&lt;=15%),2,AND(L67&gt;15%,L67&lt;=30%),3,AND(L67&gt;30%,L67&lt;=50%),4,L67&gt;50%,5)</f>
        <v>5</v>
      </c>
      <c r="N67" s="184"/>
      <c r="O67" s="90">
        <f>J67*P67</f>
        <v>2.2224282069999997</v>
      </c>
      <c r="P67" s="176">
        <v>0.65959999999999996</v>
      </c>
      <c r="Q67" s="87">
        <f>_xlfn.IFS(P67&lt;=5%,1,AND(P67&gt;5%,P67&lt;=15%),2,AND(P67&gt;15%,P67&lt;=30%),3,AND(P67&gt;30%,P67&lt;=50%),4,P67&gt;50%,5)</f>
        <v>5</v>
      </c>
      <c r="R67" s="90">
        <f>J67-O67</f>
        <v>1.1469292929999999</v>
      </c>
      <c r="S67" s="176">
        <f>R67/J67</f>
        <v>0.34040000000000004</v>
      </c>
      <c r="T67" s="87">
        <f>_xlfn.IFS(S67&lt;=5%,1,AND(S67&gt;5%,S67&lt;=15%),2,AND(S67&gt;15%,S67&lt;=30%),3,AND(S67&gt;30%,S67&lt;=50%),4,S67&gt;50%,5)</f>
        <v>4</v>
      </c>
      <c r="U67" s="89">
        <f>AVERAGE(Q67,T67)</f>
        <v>4.5</v>
      </c>
      <c r="V67" s="179"/>
      <c r="W67" s="89">
        <f>AVERAGE(M67,U67)</f>
        <v>4.75</v>
      </c>
      <c r="X67" s="87" t="str">
        <f>_xlfn.IFS(AND(W67&gt;4,W67&lt;=5),"VERY HIGH",AND(W67&gt;3,W67&lt;=4),"HIGH",AND(W67&gt;2,W67&lt;=3),"MODERATE",AND(W67&gt;1,W67&lt;=2),"LOW",W67&lt;=1,"VERY LOW")</f>
        <v>VERY HIGH</v>
      </c>
      <c r="Y67" s="88" t="s">
        <v>90</v>
      </c>
      <c r="Z67" s="87">
        <v>4</v>
      </c>
      <c r="AA67" s="88" t="s">
        <v>91</v>
      </c>
      <c r="AB67" s="87">
        <v>2</v>
      </c>
      <c r="AC67" s="88" t="s">
        <v>92</v>
      </c>
      <c r="AD67" s="87">
        <v>4</v>
      </c>
      <c r="AE67" s="88" t="s">
        <v>93</v>
      </c>
      <c r="AF67" s="87">
        <v>4</v>
      </c>
      <c r="AG67" s="88" t="s">
        <v>89</v>
      </c>
      <c r="AH67" s="87">
        <v>4</v>
      </c>
      <c r="AI67" s="88" t="s">
        <v>88</v>
      </c>
      <c r="AJ67" s="87">
        <v>4</v>
      </c>
      <c r="AK67" s="89">
        <f>AVERAGE(Z67,AB67,AD67,AF67,AH67,AJ67)</f>
        <v>3.6666666666666665</v>
      </c>
      <c r="AL67" s="179"/>
      <c r="AM67" s="89">
        <f>W67/AK67</f>
        <v>1.2954545454545454</v>
      </c>
      <c r="AN67" s="87" t="str">
        <f>_xlfn.IFS(AM67&lt;=1,"LOW",AND(AM67&gt;1,AM67&lt;=2),"MEDIUM LOW",AND(AM67&gt;2,AM67&lt;=3),"MEDIUM",AND(AM67&gt;3,AM67&lt;=4),"MEDIUM HIGH",AND(AM67&gt;4,AM67&lt;=5),"HIGH")</f>
        <v>MEDIUM LOW</v>
      </c>
      <c r="AO67" s="87">
        <v>3</v>
      </c>
      <c r="AP67" s="87">
        <f>AO67*C67</f>
        <v>18</v>
      </c>
      <c r="AQ67" s="87" t="str">
        <f>_xlfn.IFS(AP67&lt;=5,"LOW RISK",AND(AP67&gt;5,AP67&lt;=12),"MODERATE RISK",AP67&gt;12,"HIGH RISK")</f>
        <v>HIGH RISK</v>
      </c>
    </row>
    <row r="68" spans="1:43" s="177" customFormat="1" ht="56.25">
      <c r="A68" s="178"/>
      <c r="B68" s="87" t="s">
        <v>230</v>
      </c>
      <c r="C68" s="87">
        <v>6</v>
      </c>
      <c r="D68" s="179"/>
      <c r="E68" s="170" t="s">
        <v>315</v>
      </c>
      <c r="F68" s="180" t="s">
        <v>47</v>
      </c>
      <c r="G68" s="181" t="s">
        <v>300</v>
      </c>
      <c r="H68" s="182">
        <f>_xlfn.IFS(G68="Barangay road
City road",CEILING(2600000*1,1000),G68="Barangay road
City road
National road",CEILING(2600000*2,1000),G68="Barangay road
National road",CEILING(2600000*2,1000),G68="Barangay road",CEILING(2600000*1,1000),G68="City road",CEILING(2600000*1,1000),G68="Barangay road
City road",CEILING(2600000*1,1000),G68="National road",CEILING(2600000*2,1000),G68="Barangay road
NIA
Provincial road",CEILING(2600000*1,1000),G68="Barangay road
NIA
National road",CEILING(2600000*2,1000),G68="Barangay road
Private road
Provincial road",CEILING(2600000*1,1000),G68="Barangay road
Private road
Provincial road
National road",CEILING(2600000*2,1000),G68="Barangay road
NIA
National road
Provincial road",CEILING(2600000*2,1000),G68="Barangay road
Provincial road",CEILING(2600000*1,1000),G68="Barangay road
City road
National road
Provincial road",CEILING(2600000*2,1000),G68="Barangay road
National road
Provincial road",CEILING(2600000*2,1000))</f>
        <v>2600000</v>
      </c>
      <c r="I68" s="204">
        <v>14.308109</v>
      </c>
      <c r="J68" s="183">
        <v>14.308046399999998</v>
      </c>
      <c r="K68" s="182">
        <f>H68*J68</f>
        <v>37200920.639999993</v>
      </c>
      <c r="L68" s="175">
        <f t="shared" si="0"/>
        <v>0.99999562485860283</v>
      </c>
      <c r="M68" s="170">
        <f>_xlfn.IFS(L68&lt;=5%,1,AND(L68&gt;5%,L68&lt;=15%),2,AND(L68&gt;15%,L68&lt;=30%),3,AND(L68&gt;30%,L68&lt;=50%),4,L68&gt;50%,5)</f>
        <v>5</v>
      </c>
      <c r="N68" s="184"/>
      <c r="O68" s="90">
        <f>J68*P68</f>
        <v>1.47945199776</v>
      </c>
      <c r="P68" s="176">
        <v>0.10340000000000001</v>
      </c>
      <c r="Q68" s="87">
        <f>_xlfn.IFS(P68&lt;=5%,1,AND(P68&gt;5%,P68&lt;=15%),2,AND(P68&gt;15%,P68&lt;=30%),3,AND(P68&gt;30%,P68&lt;=50%),4,P68&gt;50%,5)</f>
        <v>2</v>
      </c>
      <c r="R68" s="90">
        <f>J68-O68</f>
        <v>12.828594402239998</v>
      </c>
      <c r="S68" s="176">
        <f>R68/J68</f>
        <v>0.89659999999999995</v>
      </c>
      <c r="T68" s="87">
        <f>_xlfn.IFS(S68&lt;=5%,1,AND(S68&gt;5%,S68&lt;=15%),2,AND(S68&gt;15%,S68&lt;=30%),3,AND(S68&gt;30%,S68&lt;=50%),4,S68&gt;50%,5)</f>
        <v>5</v>
      </c>
      <c r="U68" s="89">
        <f>AVERAGE(Q68,T68)</f>
        <v>3.5</v>
      </c>
      <c r="V68" s="179"/>
      <c r="W68" s="89">
        <f>AVERAGE(M68,U68)</f>
        <v>4.25</v>
      </c>
      <c r="X68" s="87" t="str">
        <f>_xlfn.IFS(AND(W68&gt;4,W68&lt;=5),"VERY HIGH",AND(W68&gt;3,W68&lt;=4),"HIGH",AND(W68&gt;2,W68&lt;=3),"MODERATE",AND(W68&gt;1,W68&lt;=2),"LOW",W68&lt;=1,"VERY LOW")</f>
        <v>VERY HIGH</v>
      </c>
      <c r="Y68" s="88" t="s">
        <v>90</v>
      </c>
      <c r="Z68" s="87">
        <v>4</v>
      </c>
      <c r="AA68" s="88" t="s">
        <v>91</v>
      </c>
      <c r="AB68" s="87">
        <v>2</v>
      </c>
      <c r="AC68" s="88" t="s">
        <v>92</v>
      </c>
      <c r="AD68" s="87">
        <v>4</v>
      </c>
      <c r="AE68" s="88" t="s">
        <v>93</v>
      </c>
      <c r="AF68" s="87">
        <v>4</v>
      </c>
      <c r="AG68" s="88" t="s">
        <v>89</v>
      </c>
      <c r="AH68" s="87">
        <v>4</v>
      </c>
      <c r="AI68" s="88" t="s">
        <v>88</v>
      </c>
      <c r="AJ68" s="87">
        <v>4</v>
      </c>
      <c r="AK68" s="89">
        <f>AVERAGE(Z68,AB68,AD68,AF68,AH68,AJ68)</f>
        <v>3.6666666666666665</v>
      </c>
      <c r="AL68" s="179"/>
      <c r="AM68" s="89">
        <f>W68/AK68</f>
        <v>1.1590909090909092</v>
      </c>
      <c r="AN68" s="87" t="str">
        <f>_xlfn.IFS(AM68&lt;=1,"LOW",AND(AM68&gt;1,AM68&lt;=2),"MEDIUM LOW",AND(AM68&gt;2,AM68&lt;=3),"MEDIUM",AND(AM68&gt;3,AM68&lt;=4),"MEDIUM HIGH",AND(AM68&gt;4,AM68&lt;=5),"HIGH")</f>
        <v>MEDIUM LOW</v>
      </c>
      <c r="AO68" s="87">
        <v>1</v>
      </c>
      <c r="AP68" s="87">
        <f>AO68*C68</f>
        <v>6</v>
      </c>
      <c r="AQ68" s="87" t="str">
        <f>_xlfn.IFS(AP68&lt;=5,"LOW RISK",AND(AP68&gt;5,AP68&lt;=12),"MODERATE RISK",AP68&gt;12,"HIGH RISK")</f>
        <v>MODERATE RISK</v>
      </c>
    </row>
    <row r="69" spans="1:43" s="177" customFormat="1" ht="56.25">
      <c r="A69" s="178"/>
      <c r="B69" s="87" t="s">
        <v>230</v>
      </c>
      <c r="C69" s="87">
        <v>6</v>
      </c>
      <c r="D69" s="179"/>
      <c r="E69" s="170" t="s">
        <v>315</v>
      </c>
      <c r="F69" s="180" t="s">
        <v>278</v>
      </c>
      <c r="G69" s="181" t="s">
        <v>300</v>
      </c>
      <c r="H69" s="182">
        <f>_xlfn.IFS(G69="Barangay road
City road",CEILING(2600000*1,1000),G69="Barangay road
City road
National road",CEILING(2600000*2,1000),G69="Barangay road
National road",CEILING(2600000*2,1000),G69="Barangay road",CEILING(2600000*1,1000),G69="City road",CEILING(2600000*1,1000),G69="Barangay road
City road",CEILING(2600000*1,1000),G69="National road",CEILING(2600000*2,1000),G69="Barangay road
NIA
Provincial road",CEILING(2600000*1,1000),G69="Barangay road
NIA
National road",CEILING(2600000*2,1000),G69="Barangay road
Private road
Provincial road",CEILING(2600000*1,1000),G69="Barangay road
Private road
Provincial road
National road",CEILING(2600000*2,1000),G69="Barangay road
NIA
National road
Provincial road",CEILING(2600000*2,1000),G69="Barangay road
Provincial road",CEILING(2600000*1,1000),G69="Barangay road
City road
National road
Provincial road",CEILING(2600000*2,1000),G69="Barangay road
National road
Provincial road",CEILING(2600000*2,1000))</f>
        <v>2600000</v>
      </c>
      <c r="I69" s="204">
        <v>3.0484979999999999</v>
      </c>
      <c r="J69" s="183">
        <v>3.0484999999999998</v>
      </c>
      <c r="K69" s="182">
        <f>H69*J69</f>
        <v>7926099.9999999991</v>
      </c>
      <c r="L69" s="175">
        <f t="shared" si="0"/>
        <v>1.0000006560607879</v>
      </c>
      <c r="M69" s="170">
        <f>_xlfn.IFS(L69&lt;=5%,1,AND(L69&gt;5%,L69&lt;=15%),2,AND(L69&gt;15%,L69&lt;=30%),3,AND(L69&gt;30%,L69&lt;=50%),4,L69&gt;50%,5)</f>
        <v>5</v>
      </c>
      <c r="N69" s="184"/>
      <c r="O69" s="90">
        <f>J69*P69</f>
        <v>0.74109035000000001</v>
      </c>
      <c r="P69" s="176">
        <v>0.24310000000000001</v>
      </c>
      <c r="Q69" s="87">
        <f>_xlfn.IFS(P69&lt;=5%,1,AND(P69&gt;5%,P69&lt;=15%),2,AND(P69&gt;15%,P69&lt;=30%),3,AND(P69&gt;30%,P69&lt;=50%),4,P69&gt;50%,5)</f>
        <v>3</v>
      </c>
      <c r="R69" s="90">
        <f>J69-O69</f>
        <v>2.3074096499999999</v>
      </c>
      <c r="S69" s="176">
        <f>R69/J69</f>
        <v>0.75690000000000002</v>
      </c>
      <c r="T69" s="87">
        <f>_xlfn.IFS(S69&lt;=5%,1,AND(S69&gt;5%,S69&lt;=15%),2,AND(S69&gt;15%,S69&lt;=30%),3,AND(S69&gt;30%,S69&lt;=50%),4,S69&gt;50%,5)</f>
        <v>5</v>
      </c>
      <c r="U69" s="89">
        <f>AVERAGE(Q69,T69)</f>
        <v>4</v>
      </c>
      <c r="V69" s="179"/>
      <c r="W69" s="89">
        <f>AVERAGE(M69,U69)</f>
        <v>4.5</v>
      </c>
      <c r="X69" s="87" t="str">
        <f>_xlfn.IFS(AND(W69&gt;4,W69&lt;=5),"VERY HIGH",AND(W69&gt;3,W69&lt;=4),"HIGH",AND(W69&gt;2,W69&lt;=3),"MODERATE",AND(W69&gt;1,W69&lt;=2),"LOW",W69&lt;=1,"VERY LOW")</f>
        <v>VERY HIGH</v>
      </c>
      <c r="Y69" s="88" t="s">
        <v>90</v>
      </c>
      <c r="Z69" s="87">
        <v>4</v>
      </c>
      <c r="AA69" s="88" t="s">
        <v>91</v>
      </c>
      <c r="AB69" s="87">
        <v>2</v>
      </c>
      <c r="AC69" s="88" t="s">
        <v>92</v>
      </c>
      <c r="AD69" s="87">
        <v>4</v>
      </c>
      <c r="AE69" s="88" t="s">
        <v>93</v>
      </c>
      <c r="AF69" s="87">
        <v>4</v>
      </c>
      <c r="AG69" s="88" t="s">
        <v>89</v>
      </c>
      <c r="AH69" s="87">
        <v>4</v>
      </c>
      <c r="AI69" s="88" t="s">
        <v>88</v>
      </c>
      <c r="AJ69" s="87">
        <v>4</v>
      </c>
      <c r="AK69" s="89">
        <f>AVERAGE(Z69,AB69,AD69,AF69,AH69,AJ69)</f>
        <v>3.6666666666666665</v>
      </c>
      <c r="AL69" s="179"/>
      <c r="AM69" s="89">
        <f>W69/AK69</f>
        <v>1.2272727272727273</v>
      </c>
      <c r="AN69" s="87" t="str">
        <f>_xlfn.IFS(AM69&lt;=1,"LOW",AND(AM69&gt;1,AM69&lt;=2),"MEDIUM LOW",AND(AM69&gt;2,AM69&lt;=3),"MEDIUM",AND(AM69&gt;3,AM69&lt;=4),"MEDIUM HIGH",AND(AM69&gt;4,AM69&lt;=5),"HIGH")</f>
        <v>MEDIUM LOW</v>
      </c>
      <c r="AO69" s="87">
        <v>1</v>
      </c>
      <c r="AP69" s="87">
        <f>AO69*C69</f>
        <v>6</v>
      </c>
      <c r="AQ69" s="87" t="str">
        <f>_xlfn.IFS(AP69&lt;=5,"LOW RISK",AND(AP69&gt;5,AP69&lt;=12),"MODERATE RISK",AP69&gt;12,"HIGH RISK")</f>
        <v>MODERATE RISK</v>
      </c>
    </row>
    <row r="70" spans="1:43" s="177" customFormat="1" ht="56.25">
      <c r="A70" s="178"/>
      <c r="B70" s="87" t="s">
        <v>230</v>
      </c>
      <c r="C70" s="87">
        <v>6</v>
      </c>
      <c r="D70" s="179"/>
      <c r="E70" s="170" t="s">
        <v>316</v>
      </c>
      <c r="F70" s="180" t="s">
        <v>279</v>
      </c>
      <c r="G70" s="181" t="s">
        <v>302</v>
      </c>
      <c r="H70" s="182">
        <f>_xlfn.IFS(G70="Barangay road
City road",CEILING(2600000*1,1000),G70="Barangay road
City road
National road",CEILING(2600000*2,1000),G70="Barangay road
National road",CEILING(2600000*2,1000),G70="Barangay road",CEILING(2600000*1,1000),G70="City road",CEILING(2600000*1,1000),G70="Barangay road
City road",CEILING(2600000*1,1000),G70="National road",CEILING(2600000*2,1000),G70="Barangay road
NIA
Provincial road",CEILING(2600000*1,1000),G70="Barangay road
NIA
National road",CEILING(2600000*2,1000),G70="Barangay road
Private road
Provincial road",CEILING(2600000*1,1000),G70="Barangay road
Private road
Provincial road
National road",CEILING(2600000*2,1000),G70="Barangay road
NIA
National road
Provincial road",CEILING(2600000*2,1000),G70="Barangay road
Provincial road",CEILING(2600000*1,1000),G70="Barangay road
City road
National road
Provincial road",CEILING(2600000*2,1000),G70="Barangay road
National road
Provincial road",CEILING(2600000*2,1000))</f>
        <v>5200000</v>
      </c>
      <c r="I70" s="204">
        <v>14.91145</v>
      </c>
      <c r="J70" s="183">
        <v>2.748516</v>
      </c>
      <c r="K70" s="182">
        <f>H70*J70</f>
        <v>14292283.199999999</v>
      </c>
      <c r="L70" s="175">
        <f t="shared" si="0"/>
        <v>0.18432251726022619</v>
      </c>
      <c r="M70" s="170">
        <f>_xlfn.IFS(L70&lt;=5%,1,AND(L70&gt;5%,L70&lt;=15%),2,AND(L70&gt;15%,L70&lt;=30%),3,AND(L70&gt;30%,L70&lt;=50%),4,L70&gt;50%,5)</f>
        <v>3</v>
      </c>
      <c r="N70" s="184"/>
      <c r="O70" s="191">
        <f>J70*P70</f>
        <v>0.65002403399999997</v>
      </c>
      <c r="P70" s="192">
        <v>0.23649999999999999</v>
      </c>
      <c r="Q70" s="170">
        <f>_xlfn.IFS(P70&lt;=5%,1,AND(P70&gt;5%,P70&lt;=15%),2,AND(P70&gt;15%,P70&lt;=30%),3,AND(P70&gt;30%,P70&lt;=50%),4,P70&gt;50%,5)</f>
        <v>3</v>
      </c>
      <c r="R70" s="191">
        <f>J70-O70</f>
        <v>2.0984919660000001</v>
      </c>
      <c r="S70" s="192">
        <f>R70/J70</f>
        <v>0.76350000000000007</v>
      </c>
      <c r="T70" s="170">
        <f>_xlfn.IFS(S70&lt;=5%,1,AND(S70&gt;5%,S70&lt;=15%),2,AND(S70&gt;15%,S70&lt;=30%),3,AND(S70&gt;30%,S70&lt;=50%),4,S70&gt;50%,5)</f>
        <v>5</v>
      </c>
      <c r="U70" s="193">
        <f>AVERAGE(Q70,T70)</f>
        <v>4</v>
      </c>
      <c r="V70" s="184"/>
      <c r="W70" s="193">
        <f>AVERAGE(M70,U70)</f>
        <v>3.5</v>
      </c>
      <c r="X70" s="170" t="str">
        <f>_xlfn.IFS(AND(W70&gt;4,W70&lt;=5),"VERY HIGH",AND(W70&gt;3,W70&lt;=4),"HIGH",AND(W70&gt;2,W70&lt;=3),"MODERATE",AND(W70&gt;1,W70&lt;=2),"LOW",W70&lt;=1,"VERY LOW")</f>
        <v>HIGH</v>
      </c>
      <c r="Y70" s="194" t="s">
        <v>90</v>
      </c>
      <c r="Z70" s="170">
        <v>4</v>
      </c>
      <c r="AA70" s="194" t="s">
        <v>91</v>
      </c>
      <c r="AB70" s="170">
        <v>2</v>
      </c>
      <c r="AC70" s="194" t="s">
        <v>92</v>
      </c>
      <c r="AD70" s="170">
        <v>4</v>
      </c>
      <c r="AE70" s="194" t="s">
        <v>93</v>
      </c>
      <c r="AF70" s="170">
        <v>4</v>
      </c>
      <c r="AG70" s="194" t="s">
        <v>89</v>
      </c>
      <c r="AH70" s="170">
        <v>4</v>
      </c>
      <c r="AI70" s="194" t="s">
        <v>88</v>
      </c>
      <c r="AJ70" s="170">
        <v>4</v>
      </c>
      <c r="AK70" s="193">
        <f>AVERAGE(Z70,AB70,AD70,AF70,AH70,AJ70)</f>
        <v>3.6666666666666665</v>
      </c>
      <c r="AL70" s="184"/>
      <c r="AM70" s="193">
        <f>W70/AK70</f>
        <v>0.95454545454545459</v>
      </c>
      <c r="AN70" s="170" t="str">
        <f>_xlfn.IFS(AM70&lt;=1,"LOW",AND(AM70&gt;1,AM70&lt;=2),"MEDIUM LOW",AND(AM70&gt;2,AM70&lt;=3),"MEDIUM",AND(AM70&gt;3,AM70&lt;=4),"MEDIUM HIGH",AND(AM70&gt;4,AM70&lt;=5),"HIGH")</f>
        <v>LOW</v>
      </c>
      <c r="AO70" s="170">
        <v>1</v>
      </c>
      <c r="AP70" s="170">
        <f>AO70*C70</f>
        <v>6</v>
      </c>
      <c r="AQ70" s="170" t="str">
        <f>_xlfn.IFS(AP70&lt;=5,"LOW RISK",AND(AP70&gt;5,AP70&lt;=12),"MODERATE RISK",AP70&gt;12,"HIGH RISK")</f>
        <v>MODERATE RISK</v>
      </c>
    </row>
    <row r="71" spans="1:43" s="177" customFormat="1" ht="56.25">
      <c r="A71" s="178"/>
      <c r="B71" s="87" t="s">
        <v>230</v>
      </c>
      <c r="C71" s="87">
        <v>6</v>
      </c>
      <c r="D71" s="179"/>
      <c r="E71" s="170" t="s">
        <v>316</v>
      </c>
      <c r="F71" s="180" t="s">
        <v>280</v>
      </c>
      <c r="G71" s="181" t="s">
        <v>303</v>
      </c>
      <c r="H71" s="182">
        <f>_xlfn.IFS(G71="Barangay road
City road",CEILING(2600000*1,1000),G71="Barangay road
City road
National road",CEILING(2600000*2,1000),G71="Barangay road
National road",CEILING(2600000*2,1000),G71="Barangay road",CEILING(2600000*1,1000),G71="City road",CEILING(2600000*1,1000),G71="Barangay road
City road",CEILING(2600000*1,1000),G71="National road",CEILING(2600000*2,1000),G71="Barangay road
NIA
Provincial road",CEILING(2600000*1,1000),G71="Barangay road
NIA
National road",CEILING(2600000*2,1000),G71="Barangay road
Private road
Provincial road",CEILING(2600000*1,1000),G71="Barangay road
Private road
Provincial road
National road",CEILING(2600000*2,1000),G71="Barangay road
NIA
National road
Provincial road",CEILING(2600000*2,1000),G71="Barangay road
Provincial road",CEILING(2600000*1,1000),G71="Barangay road
City road
National road
Provincial road",CEILING(2600000*2,1000),G71="Barangay road
National road
Provincial road",CEILING(2600000*2,1000))</f>
        <v>2600000</v>
      </c>
      <c r="I71" s="204">
        <v>20.832799999999999</v>
      </c>
      <c r="J71" s="183">
        <v>17.388847000000002</v>
      </c>
      <c r="K71" s="182">
        <f>H71*J71</f>
        <v>45211002.200000003</v>
      </c>
      <c r="L71" s="175">
        <f t="shared" ref="L71:L90" si="2">J71/I71</f>
        <v>0.83468602396221359</v>
      </c>
      <c r="M71" s="170">
        <f>_xlfn.IFS(L71&lt;=5%,1,AND(L71&gt;5%,L71&lt;=15%),2,AND(L71&gt;15%,L71&lt;=30%),3,AND(L71&gt;30%,L71&lt;=50%),4,L71&gt;50%,5)</f>
        <v>5</v>
      </c>
      <c r="N71" s="184"/>
      <c r="O71" s="191">
        <f>J71*P71</f>
        <v>0</v>
      </c>
      <c r="P71" s="192">
        <v>0</v>
      </c>
      <c r="Q71" s="170">
        <f>_xlfn.IFS(P71&lt;=5%,1,AND(P71&gt;5%,P71&lt;=15%),2,AND(P71&gt;15%,P71&lt;=30%),3,AND(P71&gt;30%,P71&lt;=50%),4,P71&gt;50%,5)</f>
        <v>1</v>
      </c>
      <c r="R71" s="191">
        <f>J71-O71</f>
        <v>17.388847000000002</v>
      </c>
      <c r="S71" s="192">
        <f>R71/J71</f>
        <v>1</v>
      </c>
      <c r="T71" s="170">
        <f>_xlfn.IFS(S71&lt;=5%,1,AND(S71&gt;5%,S71&lt;=15%),2,AND(S71&gt;15%,S71&lt;=30%),3,AND(S71&gt;30%,S71&lt;=50%),4,S71&gt;50%,5)</f>
        <v>5</v>
      </c>
      <c r="U71" s="193">
        <f>AVERAGE(Q71,T71)</f>
        <v>3</v>
      </c>
      <c r="V71" s="184"/>
      <c r="W71" s="193">
        <f>AVERAGE(M71,U71)</f>
        <v>4</v>
      </c>
      <c r="X71" s="170" t="str">
        <f>_xlfn.IFS(AND(W71&gt;4,W71&lt;=5),"VERY HIGH",AND(W71&gt;3,W71&lt;=4),"HIGH",AND(W71&gt;2,W71&lt;=3),"MODERATE",AND(W71&gt;1,W71&lt;=2),"LOW",W71&lt;=1,"VERY LOW")</f>
        <v>HIGH</v>
      </c>
      <c r="Y71" s="194" t="s">
        <v>90</v>
      </c>
      <c r="Z71" s="170">
        <v>4</v>
      </c>
      <c r="AA71" s="194" t="s">
        <v>91</v>
      </c>
      <c r="AB71" s="170">
        <v>2</v>
      </c>
      <c r="AC71" s="194" t="s">
        <v>92</v>
      </c>
      <c r="AD71" s="170">
        <v>4</v>
      </c>
      <c r="AE71" s="194" t="s">
        <v>93</v>
      </c>
      <c r="AF71" s="170">
        <v>4</v>
      </c>
      <c r="AG71" s="194" t="s">
        <v>89</v>
      </c>
      <c r="AH71" s="170">
        <v>4</v>
      </c>
      <c r="AI71" s="194" t="s">
        <v>88</v>
      </c>
      <c r="AJ71" s="170">
        <v>4</v>
      </c>
      <c r="AK71" s="193">
        <f>AVERAGE(Z71,AB71,AD71,AF71,AH71,AJ71)</f>
        <v>3.6666666666666665</v>
      </c>
      <c r="AL71" s="184"/>
      <c r="AM71" s="193">
        <f>W71/AK71</f>
        <v>1.0909090909090911</v>
      </c>
      <c r="AN71" s="170" t="str">
        <f>_xlfn.IFS(AM71&lt;=1,"LOW",AND(AM71&gt;1,AM71&lt;=2),"MEDIUM LOW",AND(AM71&gt;2,AM71&lt;=3),"MEDIUM",AND(AM71&gt;3,AM71&lt;=4),"MEDIUM HIGH",AND(AM71&gt;4,AM71&lt;=5),"HIGH")</f>
        <v>MEDIUM LOW</v>
      </c>
      <c r="AO71" s="170">
        <v>1</v>
      </c>
      <c r="AP71" s="170">
        <f>AO71*C71</f>
        <v>6</v>
      </c>
      <c r="AQ71" s="170" t="str">
        <f>_xlfn.IFS(AP71&lt;=5,"LOW RISK",AND(AP71&gt;5,AP71&lt;=12),"MODERATE RISK",AP71&gt;12,"HIGH RISK")</f>
        <v>MODERATE RISK</v>
      </c>
    </row>
    <row r="72" spans="1:43" s="177" customFormat="1" ht="56.25">
      <c r="A72" s="178"/>
      <c r="B72" s="87" t="s">
        <v>230</v>
      </c>
      <c r="C72" s="87">
        <v>6</v>
      </c>
      <c r="D72" s="179"/>
      <c r="E72" s="170" t="s">
        <v>315</v>
      </c>
      <c r="F72" s="180" t="s">
        <v>48</v>
      </c>
      <c r="G72" s="181" t="s">
        <v>312</v>
      </c>
      <c r="H72" s="182">
        <f>_xlfn.IFS(G72="Barangay road
City road",CEILING(2600000*1,1000),G72="Barangay road
City road
National road",CEILING(2600000*2,1000),G72="Barangay road
National road",CEILING(2600000*2,1000),G72="Barangay road",CEILING(2600000*1,1000),G72="City road",CEILING(2600000*1,1000),G72="Barangay road
City road",CEILING(2600000*1,1000),G72="National road",CEILING(2600000*2,1000),G72="Barangay road
NIA
Provincial road",CEILING(2600000*1,1000),G72="Barangay road
NIA
National road",CEILING(2600000*2,1000),G72="Barangay road
Private road
Provincial road",CEILING(2600000*1,1000),G72="Barangay road
Private road
Provincial road
National road",CEILING(2600000*2,1000),G72="Barangay road
NIA
National road
Provincial road",CEILING(2600000*2,1000),G72="Barangay road
Provincial road",CEILING(2600000*1,1000),G72="Barangay road
City road
National road
Provincial road",CEILING(2600000*2,1000),G72="Barangay road
National road
Provincial road",CEILING(2600000*2,1000))</f>
        <v>2600000</v>
      </c>
      <c r="I72" s="204">
        <v>21.383389000000001</v>
      </c>
      <c r="J72" s="183">
        <v>13.658362</v>
      </c>
      <c r="K72" s="182">
        <f>H72*J72</f>
        <v>35511741.200000003</v>
      </c>
      <c r="L72" s="175">
        <f t="shared" si="2"/>
        <v>0.63873701217332757</v>
      </c>
      <c r="M72" s="170">
        <f>_xlfn.IFS(L72&lt;=5%,1,AND(L72&gt;5%,L72&lt;=15%),2,AND(L72&gt;15%,L72&lt;=30%),3,AND(L72&gt;30%,L72&lt;=50%),4,L72&gt;50%,5)</f>
        <v>5</v>
      </c>
      <c r="N72" s="184"/>
      <c r="O72" s="90">
        <f>J72*P72</f>
        <v>1.1117906667999999</v>
      </c>
      <c r="P72" s="176">
        <v>8.14E-2</v>
      </c>
      <c r="Q72" s="87">
        <f>_xlfn.IFS(P72&lt;=5%,1,AND(P72&gt;5%,P72&lt;=15%),2,AND(P72&gt;15%,P72&lt;=30%),3,AND(P72&gt;30%,P72&lt;=50%),4,P72&gt;50%,5)</f>
        <v>2</v>
      </c>
      <c r="R72" s="90">
        <f>J72-O72</f>
        <v>12.546571333200001</v>
      </c>
      <c r="S72" s="176">
        <f>R72/J72</f>
        <v>0.91860000000000008</v>
      </c>
      <c r="T72" s="87">
        <f>_xlfn.IFS(S72&lt;=5%,1,AND(S72&gt;5%,S72&lt;=15%),2,AND(S72&gt;15%,S72&lt;=30%),3,AND(S72&gt;30%,S72&lt;=50%),4,S72&gt;50%,5)</f>
        <v>5</v>
      </c>
      <c r="U72" s="89">
        <f>AVERAGE(Q72,T72)</f>
        <v>3.5</v>
      </c>
      <c r="V72" s="179"/>
      <c r="W72" s="89">
        <f>AVERAGE(M72,U72)</f>
        <v>4.25</v>
      </c>
      <c r="X72" s="87" t="str">
        <f>_xlfn.IFS(AND(W72&gt;4,W72&lt;=5),"VERY HIGH",AND(W72&gt;3,W72&lt;=4),"HIGH",AND(W72&gt;2,W72&lt;=3),"MODERATE",AND(W72&gt;1,W72&lt;=2),"LOW",W72&lt;=1,"VERY LOW")</f>
        <v>VERY HIGH</v>
      </c>
      <c r="Y72" s="88" t="s">
        <v>90</v>
      </c>
      <c r="Z72" s="87">
        <v>4</v>
      </c>
      <c r="AA72" s="88" t="s">
        <v>91</v>
      </c>
      <c r="AB72" s="87">
        <v>2</v>
      </c>
      <c r="AC72" s="88" t="s">
        <v>92</v>
      </c>
      <c r="AD72" s="87">
        <v>4</v>
      </c>
      <c r="AE72" s="88" t="s">
        <v>93</v>
      </c>
      <c r="AF72" s="87">
        <v>4</v>
      </c>
      <c r="AG72" s="88" t="s">
        <v>89</v>
      </c>
      <c r="AH72" s="87">
        <v>4</v>
      </c>
      <c r="AI72" s="88" t="s">
        <v>88</v>
      </c>
      <c r="AJ72" s="87">
        <v>4</v>
      </c>
      <c r="AK72" s="89">
        <f>AVERAGE(Z72,AB72,AD72,AF72,AH72,AJ72)</f>
        <v>3.6666666666666665</v>
      </c>
      <c r="AL72" s="179"/>
      <c r="AM72" s="89">
        <f>W72/AK72</f>
        <v>1.1590909090909092</v>
      </c>
      <c r="AN72" s="87" t="str">
        <f>_xlfn.IFS(AM72&lt;=1,"LOW",AND(AM72&gt;1,AM72&lt;=2),"MEDIUM LOW",AND(AM72&gt;2,AM72&lt;=3),"MEDIUM",AND(AM72&gt;3,AM72&lt;=4),"MEDIUM HIGH",AND(AM72&gt;4,AM72&lt;=5),"HIGH")</f>
        <v>MEDIUM LOW</v>
      </c>
      <c r="AO72" s="87">
        <v>1</v>
      </c>
      <c r="AP72" s="87">
        <f>AO72*C72</f>
        <v>6</v>
      </c>
      <c r="AQ72" s="87" t="str">
        <f>_xlfn.IFS(AP72&lt;=5,"LOW RISK",AND(AP72&gt;5,AP72&lt;=12),"MODERATE RISK",AP72&gt;12,"HIGH RISK")</f>
        <v>MODERATE RISK</v>
      </c>
    </row>
    <row r="73" spans="1:43" s="177" customFormat="1" ht="56.25">
      <c r="A73" s="178"/>
      <c r="B73" s="87" t="s">
        <v>230</v>
      </c>
      <c r="C73" s="87">
        <v>6</v>
      </c>
      <c r="D73" s="179"/>
      <c r="E73" s="170" t="s">
        <v>318</v>
      </c>
      <c r="F73" s="180" t="s">
        <v>281</v>
      </c>
      <c r="G73" s="180" t="s">
        <v>310</v>
      </c>
      <c r="H73" s="182">
        <f>_xlfn.IFS(G73="Barangay road
City road",CEILING(2600000*1,1000),G73="Barangay road
City road
National road",CEILING(2600000*2,1000),G73="Barangay road
National road",CEILING(2600000*2,1000),G73="Barangay road",CEILING(2600000*1,1000),G73="City road",CEILING(2600000*1,1000),G73="Barangay road
City road",CEILING(2600000*1,1000),G73="National road",CEILING(2600000*2,1000),G73="Barangay road
NIA
Provincial road",CEILING(2600000*1,1000),G73="Barangay road
NIA
National road",CEILING(2600000*2,1000),G73="Barangay road
Private road
Provincial road",CEILING(2600000*1,1000),G73="Barangay road
Private road
Provincial road
National road",CEILING(2600000*2,1000),G73="Barangay road
NIA
National road
Provincial road",CEILING(2600000*2,1000),G73="Barangay road
Provincial road",CEILING(2600000*1,1000),G73="Barangay road
City road
National road
Provincial road",CEILING(2600000*2,1000),G73="Barangay road
National road
Provincial road",CEILING(2600000*2,1000))</f>
        <v>2600000</v>
      </c>
      <c r="I73" s="204">
        <v>0.95994999999999997</v>
      </c>
      <c r="J73" s="183">
        <v>0.95995000000000008</v>
      </c>
      <c r="K73" s="182">
        <f>H73*J73</f>
        <v>2495870</v>
      </c>
      <c r="L73" s="175">
        <f t="shared" si="2"/>
        <v>1.0000000000000002</v>
      </c>
      <c r="M73" s="170">
        <f>_xlfn.IFS(L73&lt;=5%,1,AND(L73&gt;5%,L73&lt;=15%),2,AND(L73&gt;15%,L73&lt;=30%),3,AND(L73&gt;30%,L73&lt;=50%),4,L73&gt;50%,5)</f>
        <v>5</v>
      </c>
      <c r="N73" s="184"/>
      <c r="O73" s="90">
        <f>J73*P73</f>
        <v>0.95995000000000008</v>
      </c>
      <c r="P73" s="176">
        <v>1</v>
      </c>
      <c r="Q73" s="87">
        <f>_xlfn.IFS(P73&lt;=5%,1,AND(P73&gt;5%,P73&lt;=15%),2,AND(P73&gt;15%,P73&lt;=30%),3,AND(P73&gt;30%,P73&lt;=50%),4,P73&gt;50%,5)</f>
        <v>5</v>
      </c>
      <c r="R73" s="90">
        <f>J73-O73</f>
        <v>0</v>
      </c>
      <c r="S73" s="176">
        <f>R73/J73</f>
        <v>0</v>
      </c>
      <c r="T73" s="87">
        <f>_xlfn.IFS(S73&lt;=5%,1,AND(S73&gt;5%,S73&lt;=15%),2,AND(S73&gt;15%,S73&lt;=30%),3,AND(S73&gt;30%,S73&lt;=50%),4,S73&gt;50%,5)</f>
        <v>1</v>
      </c>
      <c r="U73" s="89">
        <f>AVERAGE(Q73,T73)</f>
        <v>3</v>
      </c>
      <c r="V73" s="179"/>
      <c r="W73" s="89">
        <f>AVERAGE(M73,U73)</f>
        <v>4</v>
      </c>
      <c r="X73" s="87" t="str">
        <f>_xlfn.IFS(AND(W73&gt;4,W73&lt;=5),"VERY HIGH",AND(W73&gt;3,W73&lt;=4),"HIGH",AND(W73&gt;2,W73&lt;=3),"MODERATE",AND(W73&gt;1,W73&lt;=2),"LOW",W73&lt;=1,"VERY LOW")</f>
        <v>HIGH</v>
      </c>
      <c r="Y73" s="88" t="s">
        <v>90</v>
      </c>
      <c r="Z73" s="87">
        <v>4</v>
      </c>
      <c r="AA73" s="88" t="s">
        <v>91</v>
      </c>
      <c r="AB73" s="87">
        <v>2</v>
      </c>
      <c r="AC73" s="88" t="s">
        <v>92</v>
      </c>
      <c r="AD73" s="87">
        <v>4</v>
      </c>
      <c r="AE73" s="88" t="s">
        <v>93</v>
      </c>
      <c r="AF73" s="87">
        <v>4</v>
      </c>
      <c r="AG73" s="88" t="s">
        <v>89</v>
      </c>
      <c r="AH73" s="87">
        <v>4</v>
      </c>
      <c r="AI73" s="88" t="s">
        <v>88</v>
      </c>
      <c r="AJ73" s="87">
        <v>4</v>
      </c>
      <c r="AK73" s="89">
        <f>AVERAGE(Z73,AB73,AD73,AF73,AH73,AJ73)</f>
        <v>3.6666666666666665</v>
      </c>
      <c r="AL73" s="179"/>
      <c r="AM73" s="89">
        <f>W73/AK73</f>
        <v>1.0909090909090911</v>
      </c>
      <c r="AN73" s="87" t="str">
        <f>_xlfn.IFS(AM73&lt;=1,"LOW",AND(AM73&gt;1,AM73&lt;=2),"MEDIUM LOW",AND(AM73&gt;2,AM73&lt;=3),"MEDIUM",AND(AM73&gt;3,AM73&lt;=4),"MEDIUM HIGH",AND(AM73&gt;4,AM73&lt;=5),"HIGH")</f>
        <v>MEDIUM LOW</v>
      </c>
      <c r="AO73" s="87">
        <v>3</v>
      </c>
      <c r="AP73" s="87">
        <f>AO73*C73</f>
        <v>18</v>
      </c>
      <c r="AQ73" s="87" t="str">
        <f>_xlfn.IFS(AP73&lt;=5,"LOW RISK",AND(AP73&gt;5,AP73&lt;=12),"MODERATE RISK",AP73&gt;12,"HIGH RISK")</f>
        <v>HIGH RISK</v>
      </c>
    </row>
    <row r="74" spans="1:43" s="177" customFormat="1" ht="56.25">
      <c r="A74" s="178"/>
      <c r="B74" s="87" t="s">
        <v>230</v>
      </c>
      <c r="C74" s="87">
        <v>6</v>
      </c>
      <c r="D74" s="179"/>
      <c r="E74" s="170" t="s">
        <v>316</v>
      </c>
      <c r="F74" s="180" t="s">
        <v>282</v>
      </c>
      <c r="G74" s="181" t="s">
        <v>303</v>
      </c>
      <c r="H74" s="182">
        <f>_xlfn.IFS(G74="Barangay road
City road",CEILING(2600000*1,1000),G74="Barangay road
City road
National road",CEILING(2600000*2,1000),G74="Barangay road
National road",CEILING(2600000*2,1000),G74="Barangay road",CEILING(2600000*1,1000),G74="City road",CEILING(2600000*1,1000),G74="Barangay road
City road",CEILING(2600000*1,1000),G74="National road",CEILING(2600000*2,1000),G74="Barangay road
NIA
Provincial road",CEILING(2600000*1,1000),G74="Barangay road
NIA
National road",CEILING(2600000*2,1000),G74="Barangay road
Private road
Provincial road",CEILING(2600000*1,1000),G74="Barangay road
Private road
Provincial road
National road",CEILING(2600000*2,1000),G74="Barangay road
NIA
National road
Provincial road",CEILING(2600000*2,1000),G74="Barangay road
Provincial road",CEILING(2600000*1,1000),G74="Barangay road
City road
National road
Provincial road",CEILING(2600000*2,1000),G74="Barangay road
National road
Provincial road",CEILING(2600000*2,1000))</f>
        <v>2600000</v>
      </c>
      <c r="I74" s="204">
        <v>10.6271</v>
      </c>
      <c r="J74" s="183">
        <v>4.6983800000000002</v>
      </c>
      <c r="K74" s="182">
        <f>H74*J74</f>
        <v>12215788</v>
      </c>
      <c r="L74" s="175">
        <f t="shared" si="2"/>
        <v>0.44211308823667794</v>
      </c>
      <c r="M74" s="170">
        <f>_xlfn.IFS(L74&lt;=5%,1,AND(L74&gt;5%,L74&lt;=15%),2,AND(L74&gt;15%,L74&lt;=30%),3,AND(L74&gt;30%,L74&lt;=50%),4,L74&gt;50%,5)</f>
        <v>4</v>
      </c>
      <c r="N74" s="184"/>
      <c r="O74" s="191">
        <f>J74*P74</f>
        <v>0.141421238</v>
      </c>
      <c r="P74" s="192">
        <v>3.0099999999999998E-2</v>
      </c>
      <c r="Q74" s="170">
        <f>_xlfn.IFS(P74&lt;=5%,1,AND(P74&gt;5%,P74&lt;=15%),2,AND(P74&gt;15%,P74&lt;=30%),3,AND(P74&gt;30%,P74&lt;=50%),4,P74&gt;50%,5)</f>
        <v>1</v>
      </c>
      <c r="R74" s="191">
        <f>J74-O74</f>
        <v>4.5569587619999998</v>
      </c>
      <c r="S74" s="192">
        <f>R74/J74</f>
        <v>0.96989999999999987</v>
      </c>
      <c r="T74" s="170">
        <f>_xlfn.IFS(S74&lt;=5%,1,AND(S74&gt;5%,S74&lt;=15%),2,AND(S74&gt;15%,S74&lt;=30%),3,AND(S74&gt;30%,S74&lt;=50%),4,S74&gt;50%,5)</f>
        <v>5</v>
      </c>
      <c r="U74" s="193">
        <f>AVERAGE(Q74,T74)</f>
        <v>3</v>
      </c>
      <c r="V74" s="184"/>
      <c r="W74" s="193">
        <f>AVERAGE(M74,U74)</f>
        <v>3.5</v>
      </c>
      <c r="X74" s="170" t="str">
        <f>_xlfn.IFS(AND(W74&gt;4,W74&lt;=5),"VERY HIGH",AND(W74&gt;3,W74&lt;=4),"HIGH",AND(W74&gt;2,W74&lt;=3),"MODERATE",AND(W74&gt;1,W74&lt;=2),"LOW",W74&lt;=1,"VERY LOW")</f>
        <v>HIGH</v>
      </c>
      <c r="Y74" s="194" t="s">
        <v>90</v>
      </c>
      <c r="Z74" s="170">
        <v>4</v>
      </c>
      <c r="AA74" s="194" t="s">
        <v>91</v>
      </c>
      <c r="AB74" s="170">
        <v>2</v>
      </c>
      <c r="AC74" s="194" t="s">
        <v>92</v>
      </c>
      <c r="AD74" s="170">
        <v>4</v>
      </c>
      <c r="AE74" s="194" t="s">
        <v>93</v>
      </c>
      <c r="AF74" s="170">
        <v>4</v>
      </c>
      <c r="AG74" s="194" t="s">
        <v>89</v>
      </c>
      <c r="AH74" s="170">
        <v>4</v>
      </c>
      <c r="AI74" s="194" t="s">
        <v>88</v>
      </c>
      <c r="AJ74" s="170">
        <v>4</v>
      </c>
      <c r="AK74" s="193">
        <f>AVERAGE(Z74,AB74,AD74,AF74,AH74,AJ74)</f>
        <v>3.6666666666666665</v>
      </c>
      <c r="AL74" s="184"/>
      <c r="AM74" s="193">
        <f>W74/AK74</f>
        <v>0.95454545454545459</v>
      </c>
      <c r="AN74" s="170" t="str">
        <f>_xlfn.IFS(AM74&lt;=1,"LOW",AND(AM74&gt;1,AM74&lt;=2),"MEDIUM LOW",AND(AM74&gt;2,AM74&lt;=3),"MEDIUM",AND(AM74&gt;3,AM74&lt;=4),"MEDIUM HIGH",AND(AM74&gt;4,AM74&lt;=5),"HIGH")</f>
        <v>LOW</v>
      </c>
      <c r="AO74" s="170">
        <v>1</v>
      </c>
      <c r="AP74" s="170">
        <f>AO74*C74</f>
        <v>6</v>
      </c>
      <c r="AQ74" s="170" t="str">
        <f>_xlfn.IFS(AP74&lt;=5,"LOW RISK",AND(AP74&gt;5,AP74&lt;=12),"MODERATE RISK",AP74&gt;12,"HIGH RISK")</f>
        <v>MODERATE RISK</v>
      </c>
    </row>
    <row r="75" spans="1:43" s="177" customFormat="1" ht="56.25">
      <c r="A75" s="178"/>
      <c r="B75" s="87" t="s">
        <v>230</v>
      </c>
      <c r="C75" s="87">
        <v>6</v>
      </c>
      <c r="D75" s="179"/>
      <c r="E75" s="170" t="s">
        <v>318</v>
      </c>
      <c r="F75" s="180" t="s">
        <v>283</v>
      </c>
      <c r="G75" s="181" t="s">
        <v>300</v>
      </c>
      <c r="H75" s="182">
        <f>_xlfn.IFS(G75="Barangay road
City road",CEILING(2600000*1,1000),G75="Barangay road
City road
National road",CEILING(2600000*2,1000),G75="Barangay road
National road",CEILING(2600000*2,1000),G75="Barangay road",CEILING(2600000*1,1000),G75="City road",CEILING(2600000*1,1000),G75="Barangay road
City road",CEILING(2600000*1,1000),G75="National road",CEILING(2600000*2,1000),G75="Barangay road
NIA
Provincial road",CEILING(2600000*1,1000),G75="Barangay road
NIA
National road",CEILING(2600000*2,1000),G75="Barangay road
Private road
Provincial road",CEILING(2600000*1,1000),G75="Barangay road
Private road
Provincial road
National road",CEILING(2600000*2,1000),G75="Barangay road
NIA
National road
Provincial road",CEILING(2600000*2,1000),G75="Barangay road
Provincial road",CEILING(2600000*1,1000),G75="Barangay road
City road
National road
Provincial road",CEILING(2600000*2,1000),G75="Barangay road
National road
Provincial road",CEILING(2600000*2,1000))</f>
        <v>2600000</v>
      </c>
      <c r="I75" s="204">
        <v>1.9087670000000001</v>
      </c>
      <c r="J75" s="183">
        <v>1.9087689999999999</v>
      </c>
      <c r="K75" s="182">
        <f>H75*J75</f>
        <v>4962799.3999999994</v>
      </c>
      <c r="L75" s="175">
        <f t="shared" si="2"/>
        <v>1.0000010477968237</v>
      </c>
      <c r="M75" s="170">
        <f>_xlfn.IFS(L75&lt;=5%,1,AND(L75&gt;5%,L75&lt;=15%),2,AND(L75&gt;15%,L75&lt;=30%),3,AND(L75&gt;30%,L75&lt;=50%),4,L75&gt;50%,5)</f>
        <v>5</v>
      </c>
      <c r="N75" s="184"/>
      <c r="O75" s="90">
        <f>J75*P75</f>
        <v>1.5375134294999999</v>
      </c>
      <c r="P75" s="176">
        <v>0.80549999999999999</v>
      </c>
      <c r="Q75" s="87">
        <f>_xlfn.IFS(P75&lt;=5%,1,AND(P75&gt;5%,P75&lt;=15%),2,AND(P75&gt;15%,P75&lt;=30%),3,AND(P75&gt;30%,P75&lt;=50%),4,P75&gt;50%,5)</f>
        <v>5</v>
      </c>
      <c r="R75" s="90">
        <f>J75-O75</f>
        <v>0.37125557050000002</v>
      </c>
      <c r="S75" s="176">
        <f>R75/J75</f>
        <v>0.19450000000000001</v>
      </c>
      <c r="T75" s="87">
        <f>_xlfn.IFS(S75&lt;=5%,1,AND(S75&gt;5%,S75&lt;=15%),2,AND(S75&gt;15%,S75&lt;=30%),3,AND(S75&gt;30%,S75&lt;=50%),4,S75&gt;50%,5)</f>
        <v>3</v>
      </c>
      <c r="U75" s="89">
        <f>AVERAGE(Q75,T75)</f>
        <v>4</v>
      </c>
      <c r="V75" s="179"/>
      <c r="W75" s="89">
        <f>AVERAGE(M75,U75)</f>
        <v>4.5</v>
      </c>
      <c r="X75" s="87" t="str">
        <f>_xlfn.IFS(AND(W75&gt;4,W75&lt;=5),"VERY HIGH",AND(W75&gt;3,W75&lt;=4),"HIGH",AND(W75&gt;2,W75&lt;=3),"MODERATE",AND(W75&gt;1,W75&lt;=2),"LOW",W75&lt;=1,"VERY LOW")</f>
        <v>VERY HIGH</v>
      </c>
      <c r="Y75" s="88" t="s">
        <v>90</v>
      </c>
      <c r="Z75" s="87">
        <v>4</v>
      </c>
      <c r="AA75" s="88" t="s">
        <v>91</v>
      </c>
      <c r="AB75" s="87">
        <v>2</v>
      </c>
      <c r="AC75" s="88" t="s">
        <v>92</v>
      </c>
      <c r="AD75" s="87">
        <v>4</v>
      </c>
      <c r="AE75" s="88" t="s">
        <v>93</v>
      </c>
      <c r="AF75" s="87">
        <v>4</v>
      </c>
      <c r="AG75" s="88" t="s">
        <v>89</v>
      </c>
      <c r="AH75" s="87">
        <v>4</v>
      </c>
      <c r="AI75" s="88" t="s">
        <v>88</v>
      </c>
      <c r="AJ75" s="87">
        <v>4</v>
      </c>
      <c r="AK75" s="89">
        <f>AVERAGE(Z75,AB75,AD75,AF75,AH75,AJ75)</f>
        <v>3.6666666666666665</v>
      </c>
      <c r="AL75" s="179"/>
      <c r="AM75" s="89">
        <f>W75/AK75</f>
        <v>1.2272727272727273</v>
      </c>
      <c r="AN75" s="87" t="str">
        <f>_xlfn.IFS(AM75&lt;=1,"LOW",AND(AM75&gt;1,AM75&lt;=2),"MEDIUM LOW",AND(AM75&gt;2,AM75&lt;=3),"MEDIUM",AND(AM75&gt;3,AM75&lt;=4),"MEDIUM HIGH",AND(AM75&gt;4,AM75&lt;=5),"HIGH")</f>
        <v>MEDIUM LOW</v>
      </c>
      <c r="AO75" s="87">
        <v>3</v>
      </c>
      <c r="AP75" s="87">
        <f>AO75*C75</f>
        <v>18</v>
      </c>
      <c r="AQ75" s="87" t="str">
        <f>_xlfn.IFS(AP75&lt;=5,"LOW RISK",AND(AP75&gt;5,AP75&lt;=12),"MODERATE RISK",AP75&gt;12,"HIGH RISK")</f>
        <v>HIGH RISK</v>
      </c>
    </row>
    <row r="76" spans="1:43" s="177" customFormat="1" ht="56.25">
      <c r="A76" s="178"/>
      <c r="B76" s="87" t="s">
        <v>230</v>
      </c>
      <c r="C76" s="87">
        <v>6</v>
      </c>
      <c r="D76" s="179"/>
      <c r="E76" s="170" t="s">
        <v>316</v>
      </c>
      <c r="F76" s="180" t="s">
        <v>284</v>
      </c>
      <c r="G76" s="181" t="s">
        <v>302</v>
      </c>
      <c r="H76" s="182">
        <f>_xlfn.IFS(G76="Barangay road
City road",CEILING(2600000*1,1000),G76="Barangay road
City road
National road",CEILING(2600000*2,1000),G76="Barangay road
National road",CEILING(2600000*2,1000),G76="Barangay road",CEILING(2600000*1,1000),G76="City road",CEILING(2600000*1,1000),G76="Barangay road
City road",CEILING(2600000*1,1000),G76="National road",CEILING(2600000*2,1000),G76="Barangay road
NIA
Provincial road",CEILING(2600000*1,1000),G76="Barangay road
NIA
National road",CEILING(2600000*2,1000),G76="Barangay road
Private road
Provincial road",CEILING(2600000*1,1000),G76="Barangay road
Private road
Provincial road
National road",CEILING(2600000*2,1000),G76="Barangay road
NIA
National road
Provincial road",CEILING(2600000*2,1000),G76="Barangay road
Provincial road",CEILING(2600000*1,1000),G76="Barangay road
City road
National road
Provincial road",CEILING(2600000*2,1000),G76="Barangay road
National road
Provincial road",CEILING(2600000*2,1000))</f>
        <v>5200000</v>
      </c>
      <c r="I76" s="204">
        <v>7.6228899999999999</v>
      </c>
      <c r="J76" s="183">
        <v>0.86441069999999998</v>
      </c>
      <c r="K76" s="182">
        <f>H76*J76</f>
        <v>4494935.6399999997</v>
      </c>
      <c r="L76" s="175">
        <f t="shared" si="2"/>
        <v>0.11339671699316138</v>
      </c>
      <c r="M76" s="170">
        <f>_xlfn.IFS(L76&lt;=5%,1,AND(L76&gt;5%,L76&lt;=15%),2,AND(L76&gt;15%,L76&lt;=30%),3,AND(L76&gt;30%,L76&lt;=50%),4,L76&gt;50%,5)</f>
        <v>2</v>
      </c>
      <c r="N76" s="184"/>
      <c r="O76" s="191">
        <f>J76*P76</f>
        <v>2.135094429E-2</v>
      </c>
      <c r="P76" s="192">
        <v>2.47E-2</v>
      </c>
      <c r="Q76" s="170">
        <f>_xlfn.IFS(P76&lt;=5%,1,AND(P76&gt;5%,P76&lt;=15%),2,AND(P76&gt;15%,P76&lt;=30%),3,AND(P76&gt;30%,P76&lt;=50%),4,P76&gt;50%,5)</f>
        <v>1</v>
      </c>
      <c r="R76" s="191">
        <f>J76-O76</f>
        <v>0.84305975571000002</v>
      </c>
      <c r="S76" s="192">
        <f>R76/J76</f>
        <v>0.97530000000000006</v>
      </c>
      <c r="T76" s="170">
        <f>_xlfn.IFS(S76&lt;=5%,1,AND(S76&gt;5%,S76&lt;=15%),2,AND(S76&gt;15%,S76&lt;=30%),3,AND(S76&gt;30%,S76&lt;=50%),4,S76&gt;50%,5)</f>
        <v>5</v>
      </c>
      <c r="U76" s="193">
        <f>AVERAGE(Q76,T76)</f>
        <v>3</v>
      </c>
      <c r="V76" s="184"/>
      <c r="W76" s="193">
        <f>AVERAGE(M76,U76)</f>
        <v>2.5</v>
      </c>
      <c r="X76" s="170" t="str">
        <f>_xlfn.IFS(AND(W76&gt;4,W76&lt;=5),"VERY HIGH",AND(W76&gt;3,W76&lt;=4),"HIGH",AND(W76&gt;2,W76&lt;=3),"MODERATE",AND(W76&gt;1,W76&lt;=2),"LOW",W76&lt;=1,"VERY LOW")</f>
        <v>MODERATE</v>
      </c>
      <c r="Y76" s="194" t="s">
        <v>90</v>
      </c>
      <c r="Z76" s="170">
        <v>4</v>
      </c>
      <c r="AA76" s="194" t="s">
        <v>91</v>
      </c>
      <c r="AB76" s="170">
        <v>2</v>
      </c>
      <c r="AC76" s="194" t="s">
        <v>92</v>
      </c>
      <c r="AD76" s="170">
        <v>4</v>
      </c>
      <c r="AE76" s="194" t="s">
        <v>93</v>
      </c>
      <c r="AF76" s="170">
        <v>4</v>
      </c>
      <c r="AG76" s="194" t="s">
        <v>89</v>
      </c>
      <c r="AH76" s="170">
        <v>4</v>
      </c>
      <c r="AI76" s="194" t="s">
        <v>88</v>
      </c>
      <c r="AJ76" s="170">
        <v>4</v>
      </c>
      <c r="AK76" s="193">
        <f>AVERAGE(Z76,AB76,AD76,AF76,AH76,AJ76)</f>
        <v>3.6666666666666665</v>
      </c>
      <c r="AL76" s="184"/>
      <c r="AM76" s="193">
        <f>W76/AK76</f>
        <v>0.68181818181818188</v>
      </c>
      <c r="AN76" s="170" t="str">
        <f>_xlfn.IFS(AM76&lt;=1,"LOW",AND(AM76&gt;1,AM76&lt;=2),"MEDIUM LOW",AND(AM76&gt;2,AM76&lt;=3),"MEDIUM",AND(AM76&gt;3,AM76&lt;=4),"MEDIUM HIGH",AND(AM76&gt;4,AM76&lt;=5),"HIGH")</f>
        <v>LOW</v>
      </c>
      <c r="AO76" s="170">
        <v>1</v>
      </c>
      <c r="AP76" s="170">
        <f>AO76*C76</f>
        <v>6</v>
      </c>
      <c r="AQ76" s="170" t="str">
        <f>_xlfn.IFS(AP76&lt;=5,"LOW RISK",AND(AP76&gt;5,AP76&lt;=12),"MODERATE RISK",AP76&gt;12,"HIGH RISK")</f>
        <v>MODERATE RISK</v>
      </c>
    </row>
    <row r="77" spans="1:43" s="177" customFormat="1" ht="56.25">
      <c r="A77" s="178"/>
      <c r="B77" s="87" t="s">
        <v>230</v>
      </c>
      <c r="C77" s="87">
        <v>6</v>
      </c>
      <c r="D77" s="179"/>
      <c r="E77" s="170" t="s">
        <v>315</v>
      </c>
      <c r="F77" s="180" t="s">
        <v>285</v>
      </c>
      <c r="G77" s="181" t="s">
        <v>301</v>
      </c>
      <c r="H77" s="182">
        <f>_xlfn.IFS(G77="Barangay road
City road",CEILING(2600000*1,1000),G77="Barangay road
City road
National road",CEILING(2600000*2,1000),G77="Barangay road
National road",CEILING(2600000*2,1000),G77="Barangay road",CEILING(2600000*1,1000),G77="City road",CEILING(2600000*1,1000),G77="Barangay road
City road",CEILING(2600000*1,1000),G77="National road",CEILING(2600000*2,1000),G77="Barangay road
NIA
Provincial road",CEILING(2600000*1,1000),G77="Barangay road
NIA
National road",CEILING(2600000*2,1000),G77="Barangay road
Private road
Provincial road",CEILING(2600000*1,1000),G77="Barangay road
Private road
Provincial road
National road",CEILING(2600000*2,1000),G77="Barangay road
NIA
National road
Provincial road",CEILING(2600000*2,1000),G77="Barangay road
Provincial road",CEILING(2600000*1,1000),G77="Barangay road
City road
National road
Provincial road",CEILING(2600000*2,1000),G77="Barangay road
National road
Provincial road",CEILING(2600000*2,1000))</f>
        <v>5200000</v>
      </c>
      <c r="I77" s="204">
        <v>41.404899999999998</v>
      </c>
      <c r="J77" s="183">
        <v>41.404898000000003</v>
      </c>
      <c r="K77" s="182">
        <f>H77*J77</f>
        <v>215305469.60000002</v>
      </c>
      <c r="L77" s="175">
        <f t="shared" si="2"/>
        <v>0.99999995169653844</v>
      </c>
      <c r="M77" s="170">
        <f>_xlfn.IFS(L77&lt;=5%,1,AND(L77&gt;5%,L77&lt;=15%),2,AND(L77&gt;15%,L77&lt;=30%),3,AND(L77&gt;30%,L77&lt;=50%),4,L77&gt;50%,5)</f>
        <v>5</v>
      </c>
      <c r="N77" s="184"/>
      <c r="O77" s="90">
        <f>J77*P77</f>
        <v>1.9708731448000003</v>
      </c>
      <c r="P77" s="176">
        <v>4.7600000000000003E-2</v>
      </c>
      <c r="Q77" s="87">
        <f>_xlfn.IFS(P77&lt;=5%,1,AND(P77&gt;5%,P77&lt;=15%),2,AND(P77&gt;15%,P77&lt;=30%),3,AND(P77&gt;30%,P77&lt;=50%),4,P77&gt;50%,5)</f>
        <v>1</v>
      </c>
      <c r="R77" s="90">
        <f>J77-O77</f>
        <v>39.434024855200001</v>
      </c>
      <c r="S77" s="176">
        <f>R77/J77</f>
        <v>0.95239999999999991</v>
      </c>
      <c r="T77" s="87">
        <f>_xlfn.IFS(S77&lt;=5%,1,AND(S77&gt;5%,S77&lt;=15%),2,AND(S77&gt;15%,S77&lt;=30%),3,AND(S77&gt;30%,S77&lt;=50%),4,S77&gt;50%,5)</f>
        <v>5</v>
      </c>
      <c r="U77" s="89">
        <f>AVERAGE(Q77,T77)</f>
        <v>3</v>
      </c>
      <c r="V77" s="179"/>
      <c r="W77" s="89">
        <f>AVERAGE(M77,U77)</f>
        <v>4</v>
      </c>
      <c r="X77" s="87" t="str">
        <f>_xlfn.IFS(AND(W77&gt;4,W77&lt;=5),"VERY HIGH",AND(W77&gt;3,W77&lt;=4),"HIGH",AND(W77&gt;2,W77&lt;=3),"MODERATE",AND(W77&gt;1,W77&lt;=2),"LOW",W77&lt;=1,"VERY LOW")</f>
        <v>HIGH</v>
      </c>
      <c r="Y77" s="88" t="s">
        <v>90</v>
      </c>
      <c r="Z77" s="87">
        <v>4</v>
      </c>
      <c r="AA77" s="88" t="s">
        <v>91</v>
      </c>
      <c r="AB77" s="87">
        <v>2</v>
      </c>
      <c r="AC77" s="88" t="s">
        <v>92</v>
      </c>
      <c r="AD77" s="87">
        <v>4</v>
      </c>
      <c r="AE77" s="88" t="s">
        <v>93</v>
      </c>
      <c r="AF77" s="87">
        <v>4</v>
      </c>
      <c r="AG77" s="88" t="s">
        <v>89</v>
      </c>
      <c r="AH77" s="87">
        <v>4</v>
      </c>
      <c r="AI77" s="88" t="s">
        <v>88</v>
      </c>
      <c r="AJ77" s="87">
        <v>4</v>
      </c>
      <c r="AK77" s="89">
        <f>AVERAGE(Z77,AB77,AD77,AF77,AH77,AJ77)</f>
        <v>3.6666666666666665</v>
      </c>
      <c r="AL77" s="179"/>
      <c r="AM77" s="89">
        <f>W77/AK77</f>
        <v>1.0909090909090911</v>
      </c>
      <c r="AN77" s="87" t="str">
        <f>_xlfn.IFS(AM77&lt;=1,"LOW",AND(AM77&gt;1,AM77&lt;=2),"MEDIUM LOW",AND(AM77&gt;2,AM77&lt;=3),"MEDIUM",AND(AM77&gt;3,AM77&lt;=4),"MEDIUM HIGH",AND(AM77&gt;4,AM77&lt;=5),"HIGH")</f>
        <v>MEDIUM LOW</v>
      </c>
      <c r="AO77" s="87">
        <v>1</v>
      </c>
      <c r="AP77" s="87">
        <f>AO77*C77</f>
        <v>6</v>
      </c>
      <c r="AQ77" s="87" t="str">
        <f>_xlfn.IFS(AP77&lt;=5,"LOW RISK",AND(AP77&gt;5,AP77&lt;=12),"MODERATE RISK",AP77&gt;12,"HIGH RISK")</f>
        <v>MODERATE RISK</v>
      </c>
    </row>
    <row r="78" spans="1:43" s="177" customFormat="1" ht="56.25">
      <c r="A78" s="178"/>
      <c r="B78" s="87" t="s">
        <v>230</v>
      </c>
      <c r="C78" s="87">
        <v>6</v>
      </c>
      <c r="D78" s="179"/>
      <c r="E78" s="170" t="s">
        <v>315</v>
      </c>
      <c r="F78" s="180" t="s">
        <v>298</v>
      </c>
      <c r="G78" s="181" t="s">
        <v>313</v>
      </c>
      <c r="H78" s="182">
        <f>_xlfn.IFS(G78="Barangay road
City road",CEILING(2600000*1,1000),G78="Barangay road
City road
National road",CEILING(2600000*2,1000),G78="Barangay road
National road",CEILING(2600000*2,1000),G78="Barangay road",CEILING(2600000*1,1000),G78="City road",CEILING(2600000*1,1000),G78="Barangay road
City road",CEILING(2600000*1,1000),G78="National road",CEILING(2600000*2,1000),G78="Barangay road
NIA
Provincial road",CEILING(2600000*1,1000),G78="Barangay road
NIA
National road",CEILING(2600000*2,1000),G78="Barangay road
Private road
Provincial road",CEILING(2600000*1,1000),G78="Barangay road
Private road
Provincial road
National road",CEILING(2600000*2,1000),G78="Barangay road
NIA
National road
Provincial road",CEILING(2600000*2,1000),G78="Barangay road
Provincial road",CEILING(2600000*1,1000),G78="Barangay road
City road
National road
Provincial road",CEILING(2600000*2,1000),G78="Barangay road
National road
Provincial road",CEILING(2600000*2,1000))</f>
        <v>5200000</v>
      </c>
      <c r="I78" s="204">
        <v>14.86323</v>
      </c>
      <c r="J78" s="183">
        <v>13.356400000000001</v>
      </c>
      <c r="K78" s="182">
        <f>H78*J78</f>
        <v>69453280</v>
      </c>
      <c r="L78" s="175">
        <f t="shared" si="2"/>
        <v>0.89862028643841219</v>
      </c>
      <c r="M78" s="170">
        <f>_xlfn.IFS(L78&lt;=5%,1,AND(L78&gt;5%,L78&lt;=15%),2,AND(L78&gt;15%,L78&lt;=30%),3,AND(L78&gt;30%,L78&lt;=50%),4,L78&gt;50%,5)</f>
        <v>5</v>
      </c>
      <c r="N78" s="184"/>
      <c r="O78" s="90">
        <f>J78*P78</f>
        <v>1.6268095200000001</v>
      </c>
      <c r="P78" s="176">
        <v>0.12180000000000001</v>
      </c>
      <c r="Q78" s="87">
        <f>_xlfn.IFS(P78&lt;=5%,1,AND(P78&gt;5%,P78&lt;=15%),2,AND(P78&gt;15%,P78&lt;=30%),3,AND(P78&gt;30%,P78&lt;=50%),4,P78&gt;50%,5)</f>
        <v>2</v>
      </c>
      <c r="R78" s="90">
        <f>J78-O78</f>
        <v>11.729590480000001</v>
      </c>
      <c r="S78" s="176">
        <f>R78/J78</f>
        <v>0.87819999999999998</v>
      </c>
      <c r="T78" s="87">
        <f>_xlfn.IFS(S78&lt;=5%,1,AND(S78&gt;5%,S78&lt;=15%),2,AND(S78&gt;15%,S78&lt;=30%),3,AND(S78&gt;30%,S78&lt;=50%),4,S78&gt;50%,5)</f>
        <v>5</v>
      </c>
      <c r="U78" s="89">
        <f>AVERAGE(Q78,T78)</f>
        <v>3.5</v>
      </c>
      <c r="V78" s="179"/>
      <c r="W78" s="89">
        <f>AVERAGE(M78,U78)</f>
        <v>4.25</v>
      </c>
      <c r="X78" s="87" t="str">
        <f>_xlfn.IFS(AND(W78&gt;4,W78&lt;=5),"VERY HIGH",AND(W78&gt;3,W78&lt;=4),"HIGH",AND(W78&gt;2,W78&lt;=3),"MODERATE",AND(W78&gt;1,W78&lt;=2),"LOW",W78&lt;=1,"VERY LOW")</f>
        <v>VERY HIGH</v>
      </c>
      <c r="Y78" s="88" t="s">
        <v>90</v>
      </c>
      <c r="Z78" s="87">
        <v>4</v>
      </c>
      <c r="AA78" s="88" t="s">
        <v>91</v>
      </c>
      <c r="AB78" s="87">
        <v>2</v>
      </c>
      <c r="AC78" s="88" t="s">
        <v>92</v>
      </c>
      <c r="AD78" s="87">
        <v>4</v>
      </c>
      <c r="AE78" s="88" t="s">
        <v>93</v>
      </c>
      <c r="AF78" s="87">
        <v>4</v>
      </c>
      <c r="AG78" s="88" t="s">
        <v>89</v>
      </c>
      <c r="AH78" s="87">
        <v>4</v>
      </c>
      <c r="AI78" s="88" t="s">
        <v>88</v>
      </c>
      <c r="AJ78" s="87">
        <v>4</v>
      </c>
      <c r="AK78" s="89">
        <f>AVERAGE(Z78,AB78,AD78,AF78,AH78,AJ78)</f>
        <v>3.6666666666666665</v>
      </c>
      <c r="AL78" s="179"/>
      <c r="AM78" s="89">
        <f>W78/AK78</f>
        <v>1.1590909090909092</v>
      </c>
      <c r="AN78" s="87" t="str">
        <f>_xlfn.IFS(AM78&lt;=1,"LOW",AND(AM78&gt;1,AM78&lt;=2),"MEDIUM LOW",AND(AM78&gt;2,AM78&lt;=3),"MEDIUM",AND(AM78&gt;3,AM78&lt;=4),"MEDIUM HIGH",AND(AM78&gt;4,AM78&lt;=5),"HIGH")</f>
        <v>MEDIUM LOW</v>
      </c>
      <c r="AO78" s="87">
        <v>1</v>
      </c>
      <c r="AP78" s="87">
        <f>AO78*C78</f>
        <v>6</v>
      </c>
      <c r="AQ78" s="87" t="str">
        <f>_xlfn.IFS(AP78&lt;=5,"LOW RISK",AND(AP78&gt;5,AP78&lt;=12),"MODERATE RISK",AP78&gt;12,"HIGH RISK")</f>
        <v>MODERATE RISK</v>
      </c>
    </row>
    <row r="79" spans="1:43" s="177" customFormat="1" ht="56.25">
      <c r="A79" s="178"/>
      <c r="B79" s="87" t="s">
        <v>230</v>
      </c>
      <c r="C79" s="87">
        <v>6</v>
      </c>
      <c r="D79" s="179"/>
      <c r="E79" s="170" t="s">
        <v>318</v>
      </c>
      <c r="F79" s="180" t="s">
        <v>286</v>
      </c>
      <c r="G79" s="181" t="s">
        <v>301</v>
      </c>
      <c r="H79" s="182">
        <f>_xlfn.IFS(G79="Barangay road
City road",CEILING(2600000*1,1000),G79="Barangay road
City road
National road",CEILING(2600000*2,1000),G79="Barangay road
National road",CEILING(2600000*2,1000),G79="Barangay road",CEILING(2600000*1,1000),G79="City road",CEILING(2600000*1,1000),G79="Barangay road
City road",CEILING(2600000*1,1000),G79="National road",CEILING(2600000*2,1000),G79="Barangay road
NIA
Provincial road",CEILING(2600000*1,1000),G79="Barangay road
NIA
National road",CEILING(2600000*2,1000),G79="Barangay road
Private road
Provincial road",CEILING(2600000*1,1000),G79="Barangay road
Private road
Provincial road
National road",CEILING(2600000*2,1000),G79="Barangay road
NIA
National road
Provincial road",CEILING(2600000*2,1000),G79="Barangay road
Provincial road",CEILING(2600000*1,1000),G79="Barangay road
City road
National road
Provincial road",CEILING(2600000*2,1000),G79="Barangay road
National road
Provincial road",CEILING(2600000*2,1000))</f>
        <v>5200000</v>
      </c>
      <c r="I79" s="204">
        <v>1.6084234000000002</v>
      </c>
      <c r="J79" s="183">
        <v>1.6084234000000002</v>
      </c>
      <c r="K79" s="182">
        <f>H79*J79</f>
        <v>8363801.6800000006</v>
      </c>
      <c r="L79" s="175">
        <f t="shared" si="2"/>
        <v>1</v>
      </c>
      <c r="M79" s="170">
        <f>_xlfn.IFS(L79&lt;=5%,1,AND(L79&gt;5%,L79&lt;=15%),2,AND(L79&gt;15%,L79&lt;=30%),3,AND(L79&gt;30%,L79&lt;=50%),4,L79&gt;50%,5)</f>
        <v>5</v>
      </c>
      <c r="N79" s="184"/>
      <c r="O79" s="90">
        <f>J79*P79</f>
        <v>1.6084234000000002</v>
      </c>
      <c r="P79" s="176">
        <v>1</v>
      </c>
      <c r="Q79" s="87">
        <f>_xlfn.IFS(P79&lt;=5%,1,AND(P79&gt;5%,P79&lt;=15%),2,AND(P79&gt;15%,P79&lt;=30%),3,AND(P79&gt;30%,P79&lt;=50%),4,P79&gt;50%,5)</f>
        <v>5</v>
      </c>
      <c r="R79" s="90">
        <v>0</v>
      </c>
      <c r="S79" s="176">
        <f>R79/J79</f>
        <v>0</v>
      </c>
      <c r="T79" s="87">
        <f>_xlfn.IFS(S79&lt;=5%,1,AND(S79&gt;5%,S79&lt;=15%),2,AND(S79&gt;15%,S79&lt;=30%),3,AND(S79&gt;30%,S79&lt;=50%),4,S79&gt;50%,5)</f>
        <v>1</v>
      </c>
      <c r="U79" s="89">
        <f>AVERAGE(Q79,T79)</f>
        <v>3</v>
      </c>
      <c r="V79" s="179"/>
      <c r="W79" s="89">
        <f>AVERAGE(M79,U79)</f>
        <v>4</v>
      </c>
      <c r="X79" s="87" t="str">
        <f>_xlfn.IFS(AND(W79&gt;4,W79&lt;=5),"VERY HIGH",AND(W79&gt;3,W79&lt;=4),"HIGH",AND(W79&gt;2,W79&lt;=3),"MODERATE",AND(W79&gt;1,W79&lt;=2),"LOW",W79&lt;=1,"VERY LOW")</f>
        <v>HIGH</v>
      </c>
      <c r="Y79" s="88" t="s">
        <v>90</v>
      </c>
      <c r="Z79" s="87">
        <v>4</v>
      </c>
      <c r="AA79" s="88" t="s">
        <v>91</v>
      </c>
      <c r="AB79" s="87">
        <v>2</v>
      </c>
      <c r="AC79" s="88" t="s">
        <v>92</v>
      </c>
      <c r="AD79" s="87">
        <v>4</v>
      </c>
      <c r="AE79" s="88" t="s">
        <v>93</v>
      </c>
      <c r="AF79" s="87">
        <v>4</v>
      </c>
      <c r="AG79" s="88" t="s">
        <v>89</v>
      </c>
      <c r="AH79" s="87">
        <v>4</v>
      </c>
      <c r="AI79" s="88" t="s">
        <v>88</v>
      </c>
      <c r="AJ79" s="87">
        <v>4</v>
      </c>
      <c r="AK79" s="89">
        <f>AVERAGE(Z79,AB79,AD79,AF79,AH79,AJ79)</f>
        <v>3.6666666666666665</v>
      </c>
      <c r="AL79" s="179"/>
      <c r="AM79" s="89">
        <f>W79/AK79</f>
        <v>1.0909090909090911</v>
      </c>
      <c r="AN79" s="87" t="str">
        <f>_xlfn.IFS(AM79&lt;=1,"LOW",AND(AM79&gt;1,AM79&lt;=2),"MEDIUM LOW",AND(AM79&gt;2,AM79&lt;=3),"MEDIUM",AND(AM79&gt;3,AM79&lt;=4),"MEDIUM HIGH",AND(AM79&gt;4,AM79&lt;=5),"HIGH")</f>
        <v>MEDIUM LOW</v>
      </c>
      <c r="AO79" s="87">
        <v>3</v>
      </c>
      <c r="AP79" s="87">
        <f>AO79*C79</f>
        <v>18</v>
      </c>
      <c r="AQ79" s="87" t="str">
        <f>_xlfn.IFS(AP79&lt;=5,"LOW RISK",AND(AP79&gt;5,AP79&lt;=12),"MODERATE RISK",AP79&gt;12,"HIGH RISK")</f>
        <v>HIGH RISK</v>
      </c>
    </row>
    <row r="80" spans="1:43" s="177" customFormat="1" ht="56.25">
      <c r="A80" s="178"/>
      <c r="B80" s="87" t="s">
        <v>230</v>
      </c>
      <c r="C80" s="87">
        <v>6</v>
      </c>
      <c r="D80" s="179"/>
      <c r="E80" s="170" t="s">
        <v>318</v>
      </c>
      <c r="F80" s="180" t="s">
        <v>287</v>
      </c>
      <c r="G80" s="181" t="s">
        <v>301</v>
      </c>
      <c r="H80" s="182">
        <f>_xlfn.IFS(G80="Barangay road
City road",CEILING(2600000*1,1000),G80="Barangay road
City road
National road",CEILING(2600000*2,1000),G80="Barangay road
National road",CEILING(2600000*2,1000),G80="Barangay road",CEILING(2600000*1,1000),G80="City road",CEILING(2600000*1,1000),G80="Barangay road
City road",CEILING(2600000*1,1000),G80="National road",CEILING(2600000*2,1000),G80="Barangay road
NIA
Provincial road",CEILING(2600000*1,1000),G80="Barangay road
NIA
National road",CEILING(2600000*2,1000),G80="Barangay road
Private road
Provincial road",CEILING(2600000*1,1000),G80="Barangay road
Private road
Provincial road
National road",CEILING(2600000*2,1000),G80="Barangay road
NIA
National road
Provincial road",CEILING(2600000*2,1000),G80="Barangay road
Provincial road",CEILING(2600000*1,1000),G80="Barangay road
City road
National road
Provincial road",CEILING(2600000*2,1000),G80="Barangay road
National road
Provincial road",CEILING(2600000*2,1000))</f>
        <v>5200000</v>
      </c>
      <c r="I80" s="204">
        <v>1.2039124999999999</v>
      </c>
      <c r="J80" s="183">
        <v>1.2039122999999998</v>
      </c>
      <c r="K80" s="182">
        <f>H80*J80</f>
        <v>6260343.959999999</v>
      </c>
      <c r="L80" s="175">
        <f t="shared" si="2"/>
        <v>0.99999983387497005</v>
      </c>
      <c r="M80" s="170">
        <f>_xlfn.IFS(L80&lt;=5%,1,AND(L80&gt;5%,L80&lt;=15%),2,AND(L80&gt;15%,L80&lt;=30%),3,AND(L80&gt;30%,L80&lt;=50%),4,L80&gt;50%,5)</f>
        <v>5</v>
      </c>
      <c r="N80" s="184"/>
      <c r="O80" s="90">
        <f>J80*P80</f>
        <v>1.2039122999999998</v>
      </c>
      <c r="P80" s="176">
        <v>1</v>
      </c>
      <c r="Q80" s="87">
        <f>_xlfn.IFS(P80&lt;=5%,1,AND(P80&gt;5%,P80&lt;=15%),2,AND(P80&gt;15%,P80&lt;=30%),3,AND(P80&gt;30%,P80&lt;=50%),4,P80&gt;50%,5)</f>
        <v>5</v>
      </c>
      <c r="R80" s="90">
        <f>J80-O80</f>
        <v>0</v>
      </c>
      <c r="S80" s="176">
        <f>R80/J80</f>
        <v>0</v>
      </c>
      <c r="T80" s="87">
        <f>_xlfn.IFS(S80&lt;=5%,1,AND(S80&gt;5%,S80&lt;=15%),2,AND(S80&gt;15%,S80&lt;=30%),3,AND(S80&gt;30%,S80&lt;=50%),4,S80&gt;50%,5)</f>
        <v>1</v>
      </c>
      <c r="U80" s="89">
        <f>AVERAGE(Q80,T80)</f>
        <v>3</v>
      </c>
      <c r="V80" s="179"/>
      <c r="W80" s="89">
        <f>AVERAGE(M80,U80)</f>
        <v>4</v>
      </c>
      <c r="X80" s="87" t="str">
        <f>_xlfn.IFS(AND(W80&gt;4,W80&lt;=5),"VERY HIGH",AND(W80&gt;3,W80&lt;=4),"HIGH",AND(W80&gt;2,W80&lt;=3),"MODERATE",AND(W80&gt;1,W80&lt;=2),"LOW",W80&lt;=1,"VERY LOW")</f>
        <v>HIGH</v>
      </c>
      <c r="Y80" s="88" t="s">
        <v>90</v>
      </c>
      <c r="Z80" s="87">
        <v>4</v>
      </c>
      <c r="AA80" s="88" t="s">
        <v>91</v>
      </c>
      <c r="AB80" s="87">
        <v>2</v>
      </c>
      <c r="AC80" s="88" t="s">
        <v>92</v>
      </c>
      <c r="AD80" s="87">
        <v>4</v>
      </c>
      <c r="AE80" s="88" t="s">
        <v>93</v>
      </c>
      <c r="AF80" s="87">
        <v>4</v>
      </c>
      <c r="AG80" s="88" t="s">
        <v>89</v>
      </c>
      <c r="AH80" s="87">
        <v>4</v>
      </c>
      <c r="AI80" s="88" t="s">
        <v>88</v>
      </c>
      <c r="AJ80" s="87">
        <v>4</v>
      </c>
      <c r="AK80" s="89">
        <f>AVERAGE(Z80,AB80,AD80,AF80,AH80,AJ80)</f>
        <v>3.6666666666666665</v>
      </c>
      <c r="AL80" s="179"/>
      <c r="AM80" s="89">
        <f>W80/AK80</f>
        <v>1.0909090909090911</v>
      </c>
      <c r="AN80" s="87" t="str">
        <f>_xlfn.IFS(AM80&lt;=1,"LOW",AND(AM80&gt;1,AM80&lt;=2),"MEDIUM LOW",AND(AM80&gt;2,AM80&lt;=3),"MEDIUM",AND(AM80&gt;3,AM80&lt;=4),"MEDIUM HIGH",AND(AM80&gt;4,AM80&lt;=5),"HIGH")</f>
        <v>MEDIUM LOW</v>
      </c>
      <c r="AO80" s="87">
        <v>3</v>
      </c>
      <c r="AP80" s="87">
        <f>AO80*C80</f>
        <v>18</v>
      </c>
      <c r="AQ80" s="87" t="str">
        <f>_xlfn.IFS(AP80&lt;=5,"LOW RISK",AND(AP80&gt;5,AP80&lt;=12),"MODERATE RISK",AP80&gt;12,"HIGH RISK")</f>
        <v>HIGH RISK</v>
      </c>
    </row>
    <row r="81" spans="1:43" s="177" customFormat="1" ht="56.25">
      <c r="A81" s="178"/>
      <c r="B81" s="87" t="s">
        <v>230</v>
      </c>
      <c r="C81" s="87">
        <v>6</v>
      </c>
      <c r="D81" s="179"/>
      <c r="E81" s="170" t="s">
        <v>316</v>
      </c>
      <c r="F81" s="180" t="s">
        <v>288</v>
      </c>
      <c r="G81" s="180" t="s">
        <v>303</v>
      </c>
      <c r="H81" s="182">
        <f>_xlfn.IFS(G81="Barangay road
City road",CEILING(2600000*1,1000),G81="Barangay road
City road
National road",CEILING(2600000*2,1000),G81="Barangay road
National road",CEILING(2600000*2,1000),G81="Barangay road",CEILING(2600000*1,1000),G81="City road",CEILING(2600000*1,1000),G81="Barangay road
City road",CEILING(2600000*1,1000),G81="National road",CEILING(2600000*2,1000),G81="Barangay road
NIA
Provincial road",CEILING(2600000*1,1000),G81="Barangay road
NIA
National road",CEILING(2600000*2,1000),G81="Barangay road
Private road
Provincial road",CEILING(2600000*1,1000),G81="Barangay road
Private road
Provincial road
National road",CEILING(2600000*2,1000),G81="Barangay road
NIA
National road
Provincial road",CEILING(2600000*2,1000),G81="Barangay road
Provincial road",CEILING(2600000*1,1000),G81="Barangay road
City road
National road
Provincial road",CEILING(2600000*2,1000),G81="Barangay road
National road
Provincial road",CEILING(2600000*2,1000))</f>
        <v>2600000</v>
      </c>
      <c r="I81" s="204">
        <v>13.2149</v>
      </c>
      <c r="J81" s="183">
        <v>0.42512260000000002</v>
      </c>
      <c r="K81" s="182">
        <f>H81*J81</f>
        <v>1105318.76</v>
      </c>
      <c r="L81" s="175">
        <f t="shared" si="2"/>
        <v>3.2169944532308231E-2</v>
      </c>
      <c r="M81" s="170">
        <f>_xlfn.IFS(L81&lt;=5%,1,AND(L81&gt;5%,L81&lt;=15%),2,AND(L81&gt;15%,L81&lt;=30%),3,AND(L81&gt;30%,L81&lt;=50%),4,L81&gt;50%,5)</f>
        <v>1</v>
      </c>
      <c r="N81" s="184"/>
      <c r="O81" s="191">
        <f>J81*P81</f>
        <v>0</v>
      </c>
      <c r="P81" s="192">
        <v>0</v>
      </c>
      <c r="Q81" s="170">
        <f>_xlfn.IFS(P81&lt;=5%,1,AND(P81&gt;5%,P81&lt;=15%),2,AND(P81&gt;15%,P81&lt;=30%),3,AND(P81&gt;30%,P81&lt;=50%),4,P81&gt;50%,5)</f>
        <v>1</v>
      </c>
      <c r="R81" s="191">
        <f>J81-O81</f>
        <v>0.42512260000000002</v>
      </c>
      <c r="S81" s="192">
        <f>R81/J81</f>
        <v>1</v>
      </c>
      <c r="T81" s="170">
        <f>_xlfn.IFS(S81&lt;=5%,1,AND(S81&gt;5%,S81&lt;=15%),2,AND(S81&gt;15%,S81&lt;=30%),3,AND(S81&gt;30%,S81&lt;=50%),4,S81&gt;50%,5)</f>
        <v>5</v>
      </c>
      <c r="U81" s="193">
        <f>AVERAGE(Q81,T81)</f>
        <v>3</v>
      </c>
      <c r="V81" s="184"/>
      <c r="W81" s="193">
        <f>AVERAGE(M81,U81)</f>
        <v>2</v>
      </c>
      <c r="X81" s="170" t="str">
        <f>_xlfn.IFS(AND(W81&gt;4,W81&lt;=5),"VERY HIGH",AND(W81&gt;3,W81&lt;=4),"HIGH",AND(W81&gt;2,W81&lt;=3),"MODERATE",AND(W81&gt;1,W81&lt;=2),"LOW",W81&lt;=1,"VERY LOW")</f>
        <v>LOW</v>
      </c>
      <c r="Y81" s="194" t="s">
        <v>90</v>
      </c>
      <c r="Z81" s="170">
        <v>4</v>
      </c>
      <c r="AA81" s="194" t="s">
        <v>91</v>
      </c>
      <c r="AB81" s="170">
        <v>2</v>
      </c>
      <c r="AC81" s="194" t="s">
        <v>92</v>
      </c>
      <c r="AD81" s="170">
        <v>4</v>
      </c>
      <c r="AE81" s="194" t="s">
        <v>93</v>
      </c>
      <c r="AF81" s="170">
        <v>4</v>
      </c>
      <c r="AG81" s="194" t="s">
        <v>89</v>
      </c>
      <c r="AH81" s="170">
        <v>4</v>
      </c>
      <c r="AI81" s="194" t="s">
        <v>88</v>
      </c>
      <c r="AJ81" s="170">
        <v>4</v>
      </c>
      <c r="AK81" s="193">
        <f>AVERAGE(Z81,AB81,AD81,AF81,AH81,AJ81)</f>
        <v>3.6666666666666665</v>
      </c>
      <c r="AL81" s="184"/>
      <c r="AM81" s="193">
        <f>W81/AK81</f>
        <v>0.54545454545454553</v>
      </c>
      <c r="AN81" s="170" t="str">
        <f>_xlfn.IFS(AM81&lt;=1,"LOW",AND(AM81&gt;1,AM81&lt;=2),"MEDIUM LOW",AND(AM81&gt;2,AM81&lt;=3),"MEDIUM",AND(AM81&gt;3,AM81&lt;=4),"MEDIUM HIGH",AND(AM81&gt;4,AM81&lt;=5),"HIGH")</f>
        <v>LOW</v>
      </c>
      <c r="AO81" s="170">
        <v>1</v>
      </c>
      <c r="AP81" s="170">
        <f>AO81*C81</f>
        <v>6</v>
      </c>
      <c r="AQ81" s="170" t="str">
        <f>_xlfn.IFS(AP81&lt;=5,"LOW RISK",AND(AP81&gt;5,AP81&lt;=12),"MODERATE RISK",AP81&gt;12,"HIGH RISK")</f>
        <v>MODERATE RISK</v>
      </c>
    </row>
    <row r="82" spans="1:43" s="177" customFormat="1" ht="56.25">
      <c r="A82" s="178"/>
      <c r="B82" s="87" t="s">
        <v>230</v>
      </c>
      <c r="C82" s="87">
        <v>6</v>
      </c>
      <c r="D82" s="179"/>
      <c r="E82" s="170" t="s">
        <v>315</v>
      </c>
      <c r="F82" s="180" t="s">
        <v>289</v>
      </c>
      <c r="G82" s="181" t="s">
        <v>302</v>
      </c>
      <c r="H82" s="182">
        <f>_xlfn.IFS(G82="Barangay road
City road",CEILING(2600000*1,1000),G82="Barangay road
City road
National road",CEILING(2600000*2,1000),G82="Barangay road
National road",CEILING(2600000*2,1000),G82="Barangay road",CEILING(2600000*1,1000),G82="City road",CEILING(2600000*1,1000),G82="Barangay road
City road",CEILING(2600000*1,1000),G82="National road",CEILING(2600000*2,1000),G82="Barangay road
NIA
Provincial road",CEILING(2600000*1,1000),G82="Barangay road
NIA
National road",CEILING(2600000*2,1000),G82="Barangay road
Private road
Provincial road",CEILING(2600000*1,1000),G82="Barangay road
Private road
Provincial road
National road",CEILING(2600000*2,1000),G82="Barangay road
NIA
National road
Provincial road",CEILING(2600000*2,1000),G82="Barangay road
Provincial road",CEILING(2600000*1,1000),G82="Barangay road
City road
National road
Provincial road",CEILING(2600000*2,1000),G82="Barangay road
National road
Provincial road",CEILING(2600000*2,1000))</f>
        <v>5200000</v>
      </c>
      <c r="I82" s="204">
        <v>15.4915</v>
      </c>
      <c r="J82" s="183">
        <v>14.591099999999999</v>
      </c>
      <c r="K82" s="182">
        <f>H82*J82</f>
        <v>75873720</v>
      </c>
      <c r="L82" s="175">
        <f t="shared" si="2"/>
        <v>0.9418778039570086</v>
      </c>
      <c r="M82" s="170">
        <f>_xlfn.IFS(L82&lt;=5%,1,AND(L82&gt;5%,L82&lt;=15%),2,AND(L82&gt;15%,L82&lt;=30%),3,AND(L82&gt;30%,L82&lt;=50%),4,L82&gt;50%,5)</f>
        <v>5</v>
      </c>
      <c r="N82" s="184"/>
      <c r="O82" s="90">
        <f>J82*P82</f>
        <v>4.3773299999999997</v>
      </c>
      <c r="P82" s="176">
        <v>0.3</v>
      </c>
      <c r="Q82" s="87">
        <f>_xlfn.IFS(P82&lt;=5%,1,AND(P82&gt;5%,P82&lt;=15%),2,AND(P82&gt;15%,P82&lt;=30%),3,AND(P82&gt;30%,P82&lt;=50%),4,P82&gt;50%,5)</f>
        <v>3</v>
      </c>
      <c r="R82" s="90">
        <f>J82-O82</f>
        <v>10.21377</v>
      </c>
      <c r="S82" s="176">
        <f>R82/J82</f>
        <v>0.70000000000000007</v>
      </c>
      <c r="T82" s="87">
        <f>_xlfn.IFS(S82&lt;=5%,1,AND(S82&gt;5%,S82&lt;=15%),2,AND(S82&gt;15%,S82&lt;=30%),3,AND(S82&gt;30%,S82&lt;=50%),4,S82&gt;50%,5)</f>
        <v>5</v>
      </c>
      <c r="U82" s="89">
        <f>AVERAGE(Q82,T82)</f>
        <v>4</v>
      </c>
      <c r="V82" s="179"/>
      <c r="W82" s="89">
        <f>AVERAGE(M82,U82)</f>
        <v>4.5</v>
      </c>
      <c r="X82" s="87" t="str">
        <f>_xlfn.IFS(AND(W82&gt;4,W82&lt;=5),"VERY HIGH",AND(W82&gt;3,W82&lt;=4),"HIGH",AND(W82&gt;2,W82&lt;=3),"MODERATE",AND(W82&gt;1,W82&lt;=2),"LOW",W82&lt;=1,"VERY LOW")</f>
        <v>VERY HIGH</v>
      </c>
      <c r="Y82" s="88" t="s">
        <v>90</v>
      </c>
      <c r="Z82" s="87">
        <v>4</v>
      </c>
      <c r="AA82" s="88" t="s">
        <v>91</v>
      </c>
      <c r="AB82" s="87">
        <v>2</v>
      </c>
      <c r="AC82" s="88" t="s">
        <v>92</v>
      </c>
      <c r="AD82" s="87">
        <v>4</v>
      </c>
      <c r="AE82" s="88" t="s">
        <v>93</v>
      </c>
      <c r="AF82" s="87">
        <v>4</v>
      </c>
      <c r="AG82" s="88" t="s">
        <v>89</v>
      </c>
      <c r="AH82" s="87">
        <v>4</v>
      </c>
      <c r="AI82" s="88" t="s">
        <v>88</v>
      </c>
      <c r="AJ82" s="87">
        <v>4</v>
      </c>
      <c r="AK82" s="89">
        <f>AVERAGE(Z82,AB82,AD82,AF82,AH82,AJ82)</f>
        <v>3.6666666666666665</v>
      </c>
      <c r="AL82" s="179"/>
      <c r="AM82" s="89">
        <f>W82/AK82</f>
        <v>1.2272727272727273</v>
      </c>
      <c r="AN82" s="87" t="str">
        <f>_xlfn.IFS(AM82&lt;=1,"LOW",AND(AM82&gt;1,AM82&lt;=2),"MEDIUM LOW",AND(AM82&gt;2,AM82&lt;=3),"MEDIUM",AND(AM82&gt;3,AM82&lt;=4),"MEDIUM HIGH",AND(AM82&gt;4,AM82&lt;=5),"HIGH")</f>
        <v>MEDIUM LOW</v>
      </c>
      <c r="AO82" s="87">
        <v>1</v>
      </c>
      <c r="AP82" s="87">
        <f>AO82*C82</f>
        <v>6</v>
      </c>
      <c r="AQ82" s="87" t="str">
        <f>_xlfn.IFS(AP82&lt;=5,"LOW RISK",AND(AP82&gt;5,AP82&lt;=12),"MODERATE RISK",AP82&gt;12,"HIGH RISK")</f>
        <v>MODERATE RISK</v>
      </c>
    </row>
    <row r="83" spans="1:43" s="177" customFormat="1" ht="56.25">
      <c r="A83" s="178"/>
      <c r="B83" s="87" t="s">
        <v>230</v>
      </c>
      <c r="C83" s="87">
        <v>6</v>
      </c>
      <c r="D83" s="179"/>
      <c r="E83" s="170" t="s">
        <v>315</v>
      </c>
      <c r="F83" s="180" t="s">
        <v>290</v>
      </c>
      <c r="G83" s="181" t="s">
        <v>303</v>
      </c>
      <c r="H83" s="182">
        <f>_xlfn.IFS(G83="Barangay road
City road",CEILING(2600000*1,1000),G83="Barangay road
City road
National road",CEILING(2600000*2,1000),G83="Barangay road
National road",CEILING(2600000*2,1000),G83="Barangay road",CEILING(2600000*1,1000),G83="City road",CEILING(2600000*1,1000),G83="Barangay road
City road",CEILING(2600000*1,1000),G83="National road",CEILING(2600000*2,1000),G83="Barangay road
NIA
Provincial road",CEILING(2600000*1,1000),G83="Barangay road
NIA
National road",CEILING(2600000*2,1000),G83="Barangay road
Private road
Provincial road",CEILING(2600000*1,1000),G83="Barangay road
Private road
Provincial road
National road",CEILING(2600000*2,1000),G83="Barangay road
NIA
National road
Provincial road",CEILING(2600000*2,1000),G83="Barangay road
Provincial road",CEILING(2600000*1,1000),G83="Barangay road
City road
National road
Provincial road",CEILING(2600000*2,1000),G83="Barangay road
National road
Provincial road",CEILING(2600000*2,1000))</f>
        <v>2600000</v>
      </c>
      <c r="I83" s="204">
        <v>16.7117</v>
      </c>
      <c r="J83" s="183">
        <v>15.866410699999999</v>
      </c>
      <c r="K83" s="182">
        <f>H83*J83</f>
        <v>41252667.82</v>
      </c>
      <c r="L83" s="175">
        <f t="shared" si="2"/>
        <v>0.94941931102161947</v>
      </c>
      <c r="M83" s="170">
        <f>_xlfn.IFS(L83&lt;=5%,1,AND(L83&gt;5%,L83&lt;=15%),2,AND(L83&gt;15%,L83&lt;=30%),3,AND(L83&gt;30%,L83&lt;=50%),4,L83&gt;50%,5)</f>
        <v>5</v>
      </c>
      <c r="N83" s="184"/>
      <c r="O83" s="90">
        <f>J83*P83</f>
        <v>0.25068928906000004</v>
      </c>
      <c r="P83" s="176">
        <v>1.5800000000000002E-2</v>
      </c>
      <c r="Q83" s="87">
        <f>_xlfn.IFS(P83&lt;=5%,1,AND(P83&gt;5%,P83&lt;=15%),2,AND(P83&gt;15%,P83&lt;=30%),3,AND(P83&gt;30%,P83&lt;=50%),4,P83&gt;50%,5)</f>
        <v>1</v>
      </c>
      <c r="R83" s="90">
        <f>J83-O83</f>
        <v>15.615721410939999</v>
      </c>
      <c r="S83" s="176">
        <f>R83/J83</f>
        <v>0.98419999999999996</v>
      </c>
      <c r="T83" s="87">
        <f>_xlfn.IFS(S83&lt;=5%,1,AND(S83&gt;5%,S83&lt;=15%),2,AND(S83&gt;15%,S83&lt;=30%),3,AND(S83&gt;30%,S83&lt;=50%),4,S83&gt;50%,5)</f>
        <v>5</v>
      </c>
      <c r="U83" s="89">
        <f>AVERAGE(Q83,T83)</f>
        <v>3</v>
      </c>
      <c r="V83" s="179"/>
      <c r="W83" s="89">
        <f>AVERAGE(M83,U83)</f>
        <v>4</v>
      </c>
      <c r="X83" s="87" t="str">
        <f>_xlfn.IFS(AND(W83&gt;4,W83&lt;=5),"VERY HIGH",AND(W83&gt;3,W83&lt;=4),"HIGH",AND(W83&gt;2,W83&lt;=3),"MODERATE",AND(W83&gt;1,W83&lt;=2),"LOW",W83&lt;=1,"VERY LOW")</f>
        <v>HIGH</v>
      </c>
      <c r="Y83" s="88" t="s">
        <v>90</v>
      </c>
      <c r="Z83" s="87">
        <v>4</v>
      </c>
      <c r="AA83" s="88" t="s">
        <v>91</v>
      </c>
      <c r="AB83" s="87">
        <v>2</v>
      </c>
      <c r="AC83" s="88" t="s">
        <v>92</v>
      </c>
      <c r="AD83" s="87">
        <v>4</v>
      </c>
      <c r="AE83" s="88" t="s">
        <v>93</v>
      </c>
      <c r="AF83" s="87">
        <v>4</v>
      </c>
      <c r="AG83" s="88" t="s">
        <v>89</v>
      </c>
      <c r="AH83" s="87">
        <v>4</v>
      </c>
      <c r="AI83" s="88" t="s">
        <v>88</v>
      </c>
      <c r="AJ83" s="87">
        <v>4</v>
      </c>
      <c r="AK83" s="89">
        <f>AVERAGE(Z83,AB83,AD83,AF83,AH83,AJ83)</f>
        <v>3.6666666666666665</v>
      </c>
      <c r="AL83" s="179"/>
      <c r="AM83" s="89">
        <f>W83/AK83</f>
        <v>1.0909090909090911</v>
      </c>
      <c r="AN83" s="87" t="str">
        <f>_xlfn.IFS(AM83&lt;=1,"LOW",AND(AM83&gt;1,AM83&lt;=2),"MEDIUM LOW",AND(AM83&gt;2,AM83&lt;=3),"MEDIUM",AND(AM83&gt;3,AM83&lt;=4),"MEDIUM HIGH",AND(AM83&gt;4,AM83&lt;=5),"HIGH")</f>
        <v>MEDIUM LOW</v>
      </c>
      <c r="AO83" s="87">
        <v>1</v>
      </c>
      <c r="AP83" s="87">
        <f>AO83*C83</f>
        <v>6</v>
      </c>
      <c r="AQ83" s="87" t="str">
        <f>_xlfn.IFS(AP83&lt;=5,"LOW RISK",AND(AP83&gt;5,AP83&lt;=12),"MODERATE RISK",AP83&gt;12,"HIGH RISK")</f>
        <v>MODERATE RISK</v>
      </c>
    </row>
    <row r="84" spans="1:43" s="177" customFormat="1" ht="56.25">
      <c r="A84" s="178"/>
      <c r="B84" s="87" t="s">
        <v>230</v>
      </c>
      <c r="C84" s="87">
        <v>6</v>
      </c>
      <c r="D84" s="179"/>
      <c r="E84" s="170" t="s">
        <v>315</v>
      </c>
      <c r="F84" s="180" t="s">
        <v>291</v>
      </c>
      <c r="G84" s="181" t="s">
        <v>302</v>
      </c>
      <c r="H84" s="182">
        <f>_xlfn.IFS(G84="Barangay road
City road",CEILING(2600000*1,1000),G84="Barangay road
City road
National road",CEILING(2600000*2,1000),G84="Barangay road
National road",CEILING(2600000*2,1000),G84="Barangay road",CEILING(2600000*1,1000),G84="City road",CEILING(2600000*1,1000),G84="Barangay road
City road",CEILING(2600000*1,1000),G84="National road",CEILING(2600000*2,1000),G84="Barangay road
NIA
Provincial road",CEILING(2600000*1,1000),G84="Barangay road
NIA
National road",CEILING(2600000*2,1000),G84="Barangay road
Private road
Provincial road",CEILING(2600000*1,1000),G84="Barangay road
Private road
Provincial road
National road",CEILING(2600000*2,1000),G84="Barangay road
NIA
National road
Provincial road",CEILING(2600000*2,1000),G84="Barangay road
Provincial road",CEILING(2600000*1,1000),G84="Barangay road
City road
National road
Provincial road",CEILING(2600000*2,1000),G84="Barangay road
National road
Provincial road",CEILING(2600000*2,1000))</f>
        <v>5200000</v>
      </c>
      <c r="I84" s="204">
        <v>14.4847</v>
      </c>
      <c r="J84" s="183">
        <v>11.908380000000001</v>
      </c>
      <c r="K84" s="182">
        <f>H84*J84</f>
        <v>61923576.000000007</v>
      </c>
      <c r="L84" s="175">
        <f t="shared" si="2"/>
        <v>0.82213508046421402</v>
      </c>
      <c r="M84" s="170">
        <f>_xlfn.IFS(L84&lt;=5%,1,AND(L84&gt;5%,L84&lt;=15%),2,AND(L84&gt;15%,L84&lt;=30%),3,AND(L84&gt;30%,L84&lt;=50%),4,L84&gt;50%,5)</f>
        <v>5</v>
      </c>
      <c r="N84" s="184"/>
      <c r="O84" s="90">
        <f>J84*P84</f>
        <v>0.67044179400000015</v>
      </c>
      <c r="P84" s="176">
        <v>5.6300000000000003E-2</v>
      </c>
      <c r="Q84" s="87">
        <f>_xlfn.IFS(P84&lt;=5%,1,AND(P84&gt;5%,P84&lt;=15%),2,AND(P84&gt;15%,P84&lt;=30%),3,AND(P84&gt;30%,P84&lt;=50%),4,P84&gt;50%,5)</f>
        <v>2</v>
      </c>
      <c r="R84" s="90">
        <f>J84-O84</f>
        <v>11.237938206000001</v>
      </c>
      <c r="S84" s="176">
        <f>R84/J84</f>
        <v>0.94369999999999998</v>
      </c>
      <c r="T84" s="87">
        <f>_xlfn.IFS(S84&lt;=5%,1,AND(S84&gt;5%,S84&lt;=15%),2,AND(S84&gt;15%,S84&lt;=30%),3,AND(S84&gt;30%,S84&lt;=50%),4,S84&gt;50%,5)</f>
        <v>5</v>
      </c>
      <c r="U84" s="89">
        <f>AVERAGE(Q84,T84)</f>
        <v>3.5</v>
      </c>
      <c r="V84" s="179"/>
      <c r="W84" s="89">
        <f>AVERAGE(M84,U84)</f>
        <v>4.25</v>
      </c>
      <c r="X84" s="87" t="str">
        <f>_xlfn.IFS(AND(W84&gt;4,W84&lt;=5),"VERY HIGH",AND(W84&gt;3,W84&lt;=4),"HIGH",AND(W84&gt;2,W84&lt;=3),"MODERATE",AND(W84&gt;1,W84&lt;=2),"LOW",W84&lt;=1,"VERY LOW")</f>
        <v>VERY HIGH</v>
      </c>
      <c r="Y84" s="88" t="s">
        <v>90</v>
      </c>
      <c r="Z84" s="87">
        <v>4</v>
      </c>
      <c r="AA84" s="88" t="s">
        <v>91</v>
      </c>
      <c r="AB84" s="87">
        <v>2</v>
      </c>
      <c r="AC84" s="88" t="s">
        <v>92</v>
      </c>
      <c r="AD84" s="87">
        <v>4</v>
      </c>
      <c r="AE84" s="88" t="s">
        <v>93</v>
      </c>
      <c r="AF84" s="87">
        <v>4</v>
      </c>
      <c r="AG84" s="88" t="s">
        <v>89</v>
      </c>
      <c r="AH84" s="87">
        <v>4</v>
      </c>
      <c r="AI84" s="88" t="s">
        <v>88</v>
      </c>
      <c r="AJ84" s="87">
        <v>4</v>
      </c>
      <c r="AK84" s="89">
        <f>AVERAGE(Z84,AB84,AD84,AF84,AH84,AJ84)</f>
        <v>3.6666666666666665</v>
      </c>
      <c r="AL84" s="179"/>
      <c r="AM84" s="89">
        <f>W84/AK84</f>
        <v>1.1590909090909092</v>
      </c>
      <c r="AN84" s="87" t="str">
        <f>_xlfn.IFS(AM84&lt;=1,"LOW",AND(AM84&gt;1,AM84&lt;=2),"MEDIUM LOW",AND(AM84&gt;2,AM84&lt;=3),"MEDIUM",AND(AM84&gt;3,AM84&lt;=4),"MEDIUM HIGH",AND(AM84&gt;4,AM84&lt;=5),"HIGH")</f>
        <v>MEDIUM LOW</v>
      </c>
      <c r="AO84" s="87">
        <v>1</v>
      </c>
      <c r="AP84" s="87">
        <f>AO84*C84</f>
        <v>6</v>
      </c>
      <c r="AQ84" s="87" t="str">
        <f>_xlfn.IFS(AP84&lt;=5,"LOW RISK",AND(AP84&gt;5,AP84&lt;=12),"MODERATE RISK",AP84&gt;12,"HIGH RISK")</f>
        <v>MODERATE RISK</v>
      </c>
    </row>
    <row r="85" spans="1:43" s="177" customFormat="1" ht="56.25">
      <c r="A85" s="178"/>
      <c r="B85" s="87" t="s">
        <v>230</v>
      </c>
      <c r="C85" s="87">
        <v>6</v>
      </c>
      <c r="D85" s="179"/>
      <c r="E85" s="170" t="s">
        <v>316</v>
      </c>
      <c r="F85" s="180" t="s">
        <v>292</v>
      </c>
      <c r="G85" s="181" t="s">
        <v>302</v>
      </c>
      <c r="H85" s="182">
        <f>_xlfn.IFS(G85="Barangay road
City road",CEILING(2600000*1,1000),G85="Barangay road
City road
National road",CEILING(2600000*2,1000),G85="Barangay road
National road",CEILING(2600000*2,1000),G85="Barangay road",CEILING(2600000*1,1000),G85="City road",CEILING(2600000*1,1000),G85="Barangay road
City road",CEILING(2600000*1,1000),G85="National road",CEILING(2600000*2,1000),G85="Barangay road
NIA
Provincial road",CEILING(2600000*1,1000),G85="Barangay road
NIA
National road",CEILING(2600000*2,1000),G85="Barangay road
Private road
Provincial road",CEILING(2600000*1,1000),G85="Barangay road
Private road
Provincial road
National road",CEILING(2600000*2,1000),G85="Barangay road
NIA
National road
Provincial road",CEILING(2600000*2,1000),G85="Barangay road
Provincial road",CEILING(2600000*1,1000),G85="Barangay road
City road
National road
Provincial road",CEILING(2600000*2,1000),G85="Barangay road
National road
Provincial road",CEILING(2600000*2,1000))</f>
        <v>5200000</v>
      </c>
      <c r="I85" s="204">
        <v>6.0572499999999998</v>
      </c>
      <c r="J85" s="183">
        <v>3.5296000000000003</v>
      </c>
      <c r="K85" s="182">
        <f>H85*J85</f>
        <v>18353920</v>
      </c>
      <c r="L85" s="175">
        <f t="shared" si="2"/>
        <v>0.58270667382062824</v>
      </c>
      <c r="M85" s="170">
        <f>_xlfn.IFS(L85&lt;=5%,1,AND(L85&gt;5%,L85&lt;=15%),2,AND(L85&gt;15%,L85&lt;=30%),3,AND(L85&gt;30%,L85&lt;=50%),4,L85&gt;50%,5)</f>
        <v>5</v>
      </c>
      <c r="N85" s="184"/>
      <c r="O85" s="191">
        <f>J85*P85</f>
        <v>1.24912544</v>
      </c>
      <c r="P85" s="192">
        <v>0.35389999999999999</v>
      </c>
      <c r="Q85" s="170">
        <f>_xlfn.IFS(P85&lt;=5%,1,AND(P85&gt;5%,P85&lt;=15%),2,AND(P85&gt;15%,P85&lt;=30%),3,AND(P85&gt;30%,P85&lt;=50%),4,P85&gt;50%,5)</f>
        <v>4</v>
      </c>
      <c r="R85" s="191">
        <f>J85-O85</f>
        <v>2.28047456</v>
      </c>
      <c r="S85" s="192">
        <f>R85/J85</f>
        <v>0.64610000000000001</v>
      </c>
      <c r="T85" s="170">
        <f>_xlfn.IFS(S85&lt;=5%,1,AND(S85&gt;5%,S85&lt;=15%),2,AND(S85&gt;15%,S85&lt;=30%),3,AND(S85&gt;30%,S85&lt;=50%),4,S85&gt;50%,5)</f>
        <v>5</v>
      </c>
      <c r="U85" s="193">
        <f>AVERAGE(Q85,T85)</f>
        <v>4.5</v>
      </c>
      <c r="V85" s="184"/>
      <c r="W85" s="193">
        <f>AVERAGE(M85,U85)</f>
        <v>4.75</v>
      </c>
      <c r="X85" s="170" t="str">
        <f>_xlfn.IFS(AND(W85&gt;4,W85&lt;=5),"VERY HIGH",AND(W85&gt;3,W85&lt;=4),"HIGH",AND(W85&gt;2,W85&lt;=3),"MODERATE",AND(W85&gt;1,W85&lt;=2),"LOW",W85&lt;=1,"VERY LOW")</f>
        <v>VERY HIGH</v>
      </c>
      <c r="Y85" s="194" t="s">
        <v>90</v>
      </c>
      <c r="Z85" s="170">
        <v>4</v>
      </c>
      <c r="AA85" s="194" t="s">
        <v>91</v>
      </c>
      <c r="AB85" s="170">
        <v>2</v>
      </c>
      <c r="AC85" s="194" t="s">
        <v>92</v>
      </c>
      <c r="AD85" s="170">
        <v>4</v>
      </c>
      <c r="AE85" s="194" t="s">
        <v>93</v>
      </c>
      <c r="AF85" s="170">
        <v>4</v>
      </c>
      <c r="AG85" s="194" t="s">
        <v>89</v>
      </c>
      <c r="AH85" s="170">
        <v>4</v>
      </c>
      <c r="AI85" s="194" t="s">
        <v>88</v>
      </c>
      <c r="AJ85" s="170">
        <v>4</v>
      </c>
      <c r="AK85" s="193">
        <f>AVERAGE(Z85,AB85,AD85,AF85,AH85,AJ85)</f>
        <v>3.6666666666666665</v>
      </c>
      <c r="AL85" s="184"/>
      <c r="AM85" s="193">
        <f>W85/AK85</f>
        <v>1.2954545454545454</v>
      </c>
      <c r="AN85" s="170" t="str">
        <f>_xlfn.IFS(AM85&lt;=1,"LOW",AND(AM85&gt;1,AM85&lt;=2),"MEDIUM LOW",AND(AM85&gt;2,AM85&lt;=3),"MEDIUM",AND(AM85&gt;3,AM85&lt;=4),"MEDIUM HIGH",AND(AM85&gt;4,AM85&lt;=5),"HIGH")</f>
        <v>MEDIUM LOW</v>
      </c>
      <c r="AO85" s="170">
        <v>1</v>
      </c>
      <c r="AP85" s="170">
        <f>AO85*C85</f>
        <v>6</v>
      </c>
      <c r="AQ85" s="170" t="str">
        <f>_xlfn.IFS(AP85&lt;=5,"LOW RISK",AND(AP85&gt;5,AP85&lt;=12),"MODERATE RISK",AP85&gt;12,"HIGH RISK")</f>
        <v>MODERATE RISK</v>
      </c>
    </row>
    <row r="86" spans="1:43" s="177" customFormat="1" ht="56.25">
      <c r="A86" s="178"/>
      <c r="B86" s="87" t="s">
        <v>230</v>
      </c>
      <c r="C86" s="87">
        <v>6</v>
      </c>
      <c r="D86" s="179"/>
      <c r="E86" s="170" t="s">
        <v>318</v>
      </c>
      <c r="F86" s="180" t="s">
        <v>293</v>
      </c>
      <c r="G86" s="181" t="s">
        <v>301</v>
      </c>
      <c r="H86" s="182">
        <f>_xlfn.IFS(G86="Barangay road
City road",CEILING(2600000*1,1000),G86="Barangay road
City road
National road",CEILING(2600000*2,1000),G86="Barangay road
National road",CEILING(2600000*2,1000),G86="Barangay road",CEILING(2600000*1,1000),G86="City road",CEILING(2600000*1,1000),G86="Barangay road
City road",CEILING(2600000*1,1000),G86="National road",CEILING(2600000*2,1000),G86="Barangay road
NIA
Provincial road",CEILING(2600000*1,1000),G86="Barangay road
NIA
National road",CEILING(2600000*2,1000),G86="Barangay road
Private road
Provincial road",CEILING(2600000*1,1000),G86="Barangay road
Private road
Provincial road
National road",CEILING(2600000*2,1000),G86="Barangay road
NIA
National road
Provincial road",CEILING(2600000*2,1000),G86="Barangay road
Provincial road",CEILING(2600000*1,1000),G86="Barangay road
City road
National road
Provincial road",CEILING(2600000*2,1000),G86="Barangay road
National road
Provincial road",CEILING(2600000*2,1000))</f>
        <v>5200000</v>
      </c>
      <c r="I86" s="204">
        <v>4.9821840000000002</v>
      </c>
      <c r="J86" s="183">
        <v>4.9821843000000001</v>
      </c>
      <c r="K86" s="182">
        <f>H86*J86</f>
        <v>25907358.359999999</v>
      </c>
      <c r="L86" s="175">
        <f t="shared" si="2"/>
        <v>1.0000000602145565</v>
      </c>
      <c r="M86" s="170">
        <f>_xlfn.IFS(L86&lt;=5%,1,AND(L86&gt;5%,L86&lt;=15%),2,AND(L86&gt;15%,L86&lt;=30%),3,AND(L86&gt;30%,L86&lt;=50%),4,L86&gt;50%,5)</f>
        <v>5</v>
      </c>
      <c r="N86" s="184"/>
      <c r="O86" s="90">
        <f>J86*P86</f>
        <v>2.2295274742500002</v>
      </c>
      <c r="P86" s="176">
        <v>0.44750000000000001</v>
      </c>
      <c r="Q86" s="87">
        <f>_xlfn.IFS(P86&lt;=5%,1,AND(P86&gt;5%,P86&lt;=15%),2,AND(P86&gt;15%,P86&lt;=30%),3,AND(P86&gt;30%,P86&lt;=50%),4,P86&gt;50%,5)</f>
        <v>4</v>
      </c>
      <c r="R86" s="90">
        <f>J86-O86</f>
        <v>2.7526568257499999</v>
      </c>
      <c r="S86" s="176">
        <f>R86/J86</f>
        <v>0.55249999999999999</v>
      </c>
      <c r="T86" s="87">
        <f>_xlfn.IFS(S86&lt;=5%,1,AND(S86&gt;5%,S86&lt;=15%),2,AND(S86&gt;15%,S86&lt;=30%),3,AND(S86&gt;30%,S86&lt;=50%),4,S86&gt;50%,5)</f>
        <v>5</v>
      </c>
      <c r="U86" s="89">
        <f>AVERAGE(Q86,T86)</f>
        <v>4.5</v>
      </c>
      <c r="V86" s="179"/>
      <c r="W86" s="89">
        <f>AVERAGE(M86,U86)</f>
        <v>4.75</v>
      </c>
      <c r="X86" s="87" t="str">
        <f>_xlfn.IFS(AND(W86&gt;4,W86&lt;=5),"VERY HIGH",AND(W86&gt;3,W86&lt;=4),"HIGH",AND(W86&gt;2,W86&lt;=3),"MODERATE",AND(W86&gt;1,W86&lt;=2),"LOW",W86&lt;=1,"VERY LOW")</f>
        <v>VERY HIGH</v>
      </c>
      <c r="Y86" s="88" t="s">
        <v>90</v>
      </c>
      <c r="Z86" s="87">
        <v>4</v>
      </c>
      <c r="AA86" s="88" t="s">
        <v>91</v>
      </c>
      <c r="AB86" s="87">
        <v>2</v>
      </c>
      <c r="AC86" s="88" t="s">
        <v>92</v>
      </c>
      <c r="AD86" s="87">
        <v>4</v>
      </c>
      <c r="AE86" s="88" t="s">
        <v>93</v>
      </c>
      <c r="AF86" s="87">
        <v>4</v>
      </c>
      <c r="AG86" s="88" t="s">
        <v>89</v>
      </c>
      <c r="AH86" s="87">
        <v>4</v>
      </c>
      <c r="AI86" s="88" t="s">
        <v>88</v>
      </c>
      <c r="AJ86" s="87">
        <v>4</v>
      </c>
      <c r="AK86" s="89">
        <f>AVERAGE(Z86,AB86,AD86,AF86,AH86,AJ86)</f>
        <v>3.6666666666666665</v>
      </c>
      <c r="AL86" s="179"/>
      <c r="AM86" s="89">
        <f>W86/AK86</f>
        <v>1.2954545454545454</v>
      </c>
      <c r="AN86" s="87" t="str">
        <f>_xlfn.IFS(AM86&lt;=1,"LOW",AND(AM86&gt;1,AM86&lt;=2),"MEDIUM LOW",AND(AM86&gt;2,AM86&lt;=3),"MEDIUM",AND(AM86&gt;3,AM86&lt;=4),"MEDIUM HIGH",AND(AM86&gt;4,AM86&lt;=5),"HIGH")</f>
        <v>MEDIUM LOW</v>
      </c>
      <c r="AO86" s="87">
        <v>3</v>
      </c>
      <c r="AP86" s="87">
        <f>AO86*C86</f>
        <v>18</v>
      </c>
      <c r="AQ86" s="87" t="str">
        <f>_xlfn.IFS(AP86&lt;=5,"LOW RISK",AND(AP86&gt;5,AP86&lt;=12),"MODERATE RISK",AP86&gt;12,"HIGH RISK")</f>
        <v>HIGH RISK</v>
      </c>
    </row>
    <row r="87" spans="1:43" s="177" customFormat="1" ht="56.25">
      <c r="A87" s="178"/>
      <c r="B87" s="87" t="s">
        <v>230</v>
      </c>
      <c r="C87" s="87">
        <v>6</v>
      </c>
      <c r="D87" s="179"/>
      <c r="E87" s="170" t="s">
        <v>315</v>
      </c>
      <c r="F87" s="186" t="s">
        <v>294</v>
      </c>
      <c r="G87" s="181" t="s">
        <v>300</v>
      </c>
      <c r="H87" s="182">
        <f>_xlfn.IFS(G87="Barangay road
City road",CEILING(2600000*1,1000),G87="Barangay road
City road
National road",CEILING(2600000*2,1000),G87="Barangay road
National road",CEILING(2600000*2,1000),G87="Barangay road",CEILING(2600000*1,1000),G87="City road",CEILING(2600000*1,1000),G87="Barangay road
City road",CEILING(2600000*1,1000),G87="National road",CEILING(2600000*2,1000),G87="Barangay road
NIA
Provincial road",CEILING(2600000*1,1000),G87="Barangay road
NIA
National road",CEILING(2600000*2,1000),G87="Barangay road
Private road
Provincial road",CEILING(2600000*1,1000),G87="Barangay road
Private road
Provincial road
National road",CEILING(2600000*2,1000),G87="Barangay road
NIA
National road
Provincial road",CEILING(2600000*2,1000),G87="Barangay road
Provincial road",CEILING(2600000*1,1000),G87="Barangay road
City road
National road
Provincial road",CEILING(2600000*2,1000),G87="Barangay road
National road
Provincial road",CEILING(2600000*2,1000))</f>
        <v>2600000</v>
      </c>
      <c r="I87" s="204">
        <v>13.040481</v>
      </c>
      <c r="J87" s="187">
        <v>13.040467599999999</v>
      </c>
      <c r="K87" s="182">
        <f>H87*J87</f>
        <v>33905215.759999998</v>
      </c>
      <c r="L87" s="175">
        <f t="shared" si="2"/>
        <v>0.99999897243054148</v>
      </c>
      <c r="M87" s="170">
        <f>_xlfn.IFS(L87&lt;=5%,1,AND(L87&gt;5%,L87&lt;=15%),2,AND(L87&gt;15%,L87&lt;=30%),3,AND(L87&gt;30%,L87&lt;=50%),4,L87&gt;50%,5)</f>
        <v>5</v>
      </c>
      <c r="N87" s="188"/>
      <c r="O87" s="90">
        <f>J87*P87</f>
        <v>3.7843436975200002</v>
      </c>
      <c r="P87" s="176">
        <v>0.29020000000000001</v>
      </c>
      <c r="Q87" s="87">
        <f>_xlfn.IFS(P87&lt;=5%,1,AND(P87&gt;5%,P87&lt;=15%),2,AND(P87&gt;15%,P87&lt;=30%),3,AND(P87&gt;30%,P87&lt;=50%),4,P87&gt;50%,5)</f>
        <v>3</v>
      </c>
      <c r="R87" s="90">
        <f>J87-O87</f>
        <v>9.2561239024799988</v>
      </c>
      <c r="S87" s="176">
        <f>R87/J87</f>
        <v>0.70979999999999999</v>
      </c>
      <c r="T87" s="87">
        <f>_xlfn.IFS(S87&lt;=5%,1,AND(S87&gt;5%,S87&lt;=15%),2,AND(S87&gt;15%,S87&lt;=30%),3,AND(S87&gt;30%,S87&lt;=50%),4,S87&gt;50%,5)</f>
        <v>5</v>
      </c>
      <c r="U87" s="89">
        <f>AVERAGE(Q87,T87)</f>
        <v>4</v>
      </c>
      <c r="V87" s="189"/>
      <c r="W87" s="89">
        <f>AVERAGE(M87,U87)</f>
        <v>4.5</v>
      </c>
      <c r="X87" s="87" t="str">
        <f>_xlfn.IFS(AND(W87&gt;4,W87&lt;=5),"VERY HIGH",AND(W87&gt;3,W87&lt;=4),"HIGH",AND(W87&gt;2,W87&lt;=3),"MODERATE",AND(W87&gt;1,W87&lt;=2),"LOW",W87&lt;=1,"VERY LOW")</f>
        <v>VERY HIGH</v>
      </c>
      <c r="Y87" s="88" t="s">
        <v>90</v>
      </c>
      <c r="Z87" s="87">
        <v>4</v>
      </c>
      <c r="AA87" s="88" t="s">
        <v>91</v>
      </c>
      <c r="AB87" s="87">
        <v>2</v>
      </c>
      <c r="AC87" s="88" t="s">
        <v>92</v>
      </c>
      <c r="AD87" s="87">
        <v>4</v>
      </c>
      <c r="AE87" s="88" t="s">
        <v>93</v>
      </c>
      <c r="AF87" s="87">
        <v>4</v>
      </c>
      <c r="AG87" s="88" t="s">
        <v>89</v>
      </c>
      <c r="AH87" s="87">
        <v>4</v>
      </c>
      <c r="AI87" s="88" t="s">
        <v>88</v>
      </c>
      <c r="AJ87" s="87">
        <v>4</v>
      </c>
      <c r="AK87" s="89">
        <f>AVERAGE(Z87,AB87,AD87,AF87,AH87,AJ87)</f>
        <v>3.6666666666666665</v>
      </c>
      <c r="AL87" s="189"/>
      <c r="AM87" s="89">
        <f>W87/AK87</f>
        <v>1.2272727272727273</v>
      </c>
      <c r="AN87" s="87" t="str">
        <f>_xlfn.IFS(AM87&lt;=1,"LOW",AND(AM87&gt;1,AM87&lt;=2),"MEDIUM LOW",AND(AM87&gt;2,AM87&lt;=3),"MEDIUM",AND(AM87&gt;3,AM87&lt;=4),"MEDIUM HIGH",AND(AM87&gt;4,AM87&lt;=5),"HIGH")</f>
        <v>MEDIUM LOW</v>
      </c>
      <c r="AO87" s="87">
        <v>1</v>
      </c>
      <c r="AP87" s="87">
        <f>AO87*C87</f>
        <v>6</v>
      </c>
      <c r="AQ87" s="87" t="str">
        <f>_xlfn.IFS(AP87&lt;=5,"LOW RISK",AND(AP87&gt;5,AP87&lt;=12),"MODERATE RISK",AP87&gt;12,"HIGH RISK")</f>
        <v>MODERATE RISK</v>
      </c>
    </row>
    <row r="88" spans="1:43" s="177" customFormat="1" ht="56.25">
      <c r="A88" s="190"/>
      <c r="B88" s="87" t="s">
        <v>230</v>
      </c>
      <c r="C88" s="87">
        <v>6</v>
      </c>
      <c r="D88" s="189"/>
      <c r="E88" s="170" t="s">
        <v>316</v>
      </c>
      <c r="F88" s="186" t="s">
        <v>295</v>
      </c>
      <c r="G88" s="181" t="s">
        <v>302</v>
      </c>
      <c r="H88" s="182">
        <f>_xlfn.IFS(G88="Barangay road
City road",CEILING(2600000*1,1000),G88="Barangay road
City road
National road",CEILING(2600000*2,1000),G88="Barangay road
National road",CEILING(2600000*2,1000),G88="Barangay road",CEILING(2600000*1,1000),G88="City road",CEILING(2600000*1,1000),G88="Barangay road
City road",CEILING(2600000*1,1000),G88="National road",CEILING(2600000*2,1000),G88="Barangay road
NIA
Provincial road",CEILING(2600000*1,1000),G88="Barangay road
NIA
National road",CEILING(2600000*2,1000),G88="Barangay road
Private road
Provincial road",CEILING(2600000*1,1000),G88="Barangay road
Private road
Provincial road
National road",CEILING(2600000*2,1000),G88="Barangay road
NIA
National road
Provincial road",CEILING(2600000*2,1000),G88="Barangay road
Provincial road",CEILING(2600000*1,1000),G88="Barangay road
City road
National road
Provincial road",CEILING(2600000*2,1000),G88="Barangay road
National road
Provincial road",CEILING(2600000*2,1000))</f>
        <v>5200000</v>
      </c>
      <c r="I88" s="204">
        <v>68.172290000000004</v>
      </c>
      <c r="J88" s="187">
        <v>8.4433990000000012</v>
      </c>
      <c r="K88" s="182">
        <f>H88*J88</f>
        <v>43905674.800000004</v>
      </c>
      <c r="L88" s="175">
        <f t="shared" si="2"/>
        <v>0.12385382682611953</v>
      </c>
      <c r="M88" s="170">
        <f>_xlfn.IFS(L88&lt;=5%,1,AND(L88&gt;5%,L88&lt;=15%),2,AND(L88&gt;15%,L88&lt;=30%),3,AND(L88&gt;30%,L88&lt;=50%),4,L88&gt;50%,5)</f>
        <v>2</v>
      </c>
      <c r="N88" s="188"/>
      <c r="O88" s="191">
        <f>J88*P88</f>
        <v>0.45087750660000009</v>
      </c>
      <c r="P88" s="192">
        <v>5.3400000000000003E-2</v>
      </c>
      <c r="Q88" s="170">
        <f>_xlfn.IFS(P88&lt;=5%,1,AND(P88&gt;5%,P88&lt;=15%),2,AND(P88&gt;15%,P88&lt;=30%),3,AND(P88&gt;30%,P88&lt;=50%),4,P88&gt;50%,5)</f>
        <v>2</v>
      </c>
      <c r="R88" s="191">
        <f>J88-O88</f>
        <v>7.9925214934000008</v>
      </c>
      <c r="S88" s="192">
        <f>R88/J88</f>
        <v>0.9466</v>
      </c>
      <c r="T88" s="170">
        <f>_xlfn.IFS(S88&lt;=5%,1,AND(S88&gt;5%,S88&lt;=15%),2,AND(S88&gt;15%,S88&lt;=30%),3,AND(S88&gt;30%,S88&lt;=50%),4,S88&gt;50%,5)</f>
        <v>5</v>
      </c>
      <c r="U88" s="193">
        <f>AVERAGE(Q88,T88)</f>
        <v>3.5</v>
      </c>
      <c r="V88" s="188"/>
      <c r="W88" s="193">
        <f>AVERAGE(M88,U88)</f>
        <v>2.75</v>
      </c>
      <c r="X88" s="170" t="str">
        <f>_xlfn.IFS(AND(W88&gt;4,W88&lt;=5),"VERY HIGH",AND(W88&gt;3,W88&lt;=4),"HIGH",AND(W88&gt;2,W88&lt;=3),"MODERATE",AND(W88&gt;1,W88&lt;=2),"LOW",W88&lt;=1,"VERY LOW")</f>
        <v>MODERATE</v>
      </c>
      <c r="Y88" s="194" t="s">
        <v>90</v>
      </c>
      <c r="Z88" s="170">
        <v>4</v>
      </c>
      <c r="AA88" s="194" t="s">
        <v>91</v>
      </c>
      <c r="AB88" s="170">
        <v>2</v>
      </c>
      <c r="AC88" s="194" t="s">
        <v>92</v>
      </c>
      <c r="AD88" s="170">
        <v>4</v>
      </c>
      <c r="AE88" s="194" t="s">
        <v>93</v>
      </c>
      <c r="AF88" s="170">
        <v>4</v>
      </c>
      <c r="AG88" s="194" t="s">
        <v>89</v>
      </c>
      <c r="AH88" s="170">
        <v>4</v>
      </c>
      <c r="AI88" s="194" t="s">
        <v>88</v>
      </c>
      <c r="AJ88" s="170">
        <v>4</v>
      </c>
      <c r="AK88" s="193">
        <f>AVERAGE(Z88,AB88,AD88,AF88,AH88,AJ88)</f>
        <v>3.6666666666666665</v>
      </c>
      <c r="AL88" s="188"/>
      <c r="AM88" s="193">
        <f>W88/AK88</f>
        <v>0.75</v>
      </c>
      <c r="AN88" s="170" t="str">
        <f>_xlfn.IFS(AM88&lt;=1,"LOW",AND(AM88&gt;1,AM88&lt;=2),"MEDIUM LOW",AND(AM88&gt;2,AM88&lt;=3),"MEDIUM",AND(AM88&gt;3,AM88&lt;=4),"MEDIUM HIGH",AND(AM88&gt;4,AM88&lt;=5),"HIGH")</f>
        <v>LOW</v>
      </c>
      <c r="AO88" s="170">
        <v>1</v>
      </c>
      <c r="AP88" s="170">
        <f>AO88*C88</f>
        <v>6</v>
      </c>
      <c r="AQ88" s="170" t="str">
        <f>_xlfn.IFS(AP88&lt;=5,"LOW RISK",AND(AP88&gt;5,AP88&lt;=12),"MODERATE RISK",AP88&gt;12,"HIGH RISK")</f>
        <v>MODERATE RISK</v>
      </c>
    </row>
    <row r="89" spans="1:43" s="177" customFormat="1" ht="56.25">
      <c r="A89" s="190"/>
      <c r="B89" s="87" t="s">
        <v>230</v>
      </c>
      <c r="C89" s="87">
        <v>6</v>
      </c>
      <c r="D89" s="189"/>
      <c r="E89" s="170" t="s">
        <v>318</v>
      </c>
      <c r="F89" s="186" t="s">
        <v>296</v>
      </c>
      <c r="G89" s="181" t="s">
        <v>301</v>
      </c>
      <c r="H89" s="182">
        <f>_xlfn.IFS(G89="Barangay road
City road",CEILING(2600000*1,1000),G89="Barangay road
City road
National road",CEILING(2600000*2,1000),G89="Barangay road
National road",CEILING(2600000*2,1000),G89="Barangay road",CEILING(2600000*1,1000),G89="City road",CEILING(2600000*1,1000),G89="Barangay road
City road",CEILING(2600000*1,1000),G89="National road",CEILING(2600000*2,1000),G89="Barangay road
NIA
Provincial road",CEILING(2600000*1,1000),G89="Barangay road
NIA
National road",CEILING(2600000*2,1000),G89="Barangay road
Private road
Provincial road",CEILING(2600000*1,1000),G89="Barangay road
Private road
Provincial road
National road",CEILING(2600000*2,1000),G89="Barangay road
NIA
National road
Provincial road",CEILING(2600000*2,1000),G89="Barangay road
Provincial road",CEILING(2600000*1,1000),G89="Barangay road
City road
National road
Provincial road",CEILING(2600000*2,1000),G89="Barangay road
National road
Provincial road",CEILING(2600000*2,1000))</f>
        <v>5200000</v>
      </c>
      <c r="I89" s="204">
        <v>1.2714216</v>
      </c>
      <c r="J89" s="187">
        <v>1.2714226</v>
      </c>
      <c r="K89" s="182">
        <f>H89*J89</f>
        <v>6611397.5199999996</v>
      </c>
      <c r="L89" s="175">
        <f t="shared" si="2"/>
        <v>1.0000007865211664</v>
      </c>
      <c r="M89" s="170">
        <f>_xlfn.IFS(L89&lt;=5%,1,AND(L89&gt;5%,L89&lt;=15%),2,AND(L89&gt;15%,L89&lt;=30%),3,AND(L89&gt;30%,L89&lt;=50%),4,L89&gt;50%,5)</f>
        <v>5</v>
      </c>
      <c r="N89" s="188"/>
      <c r="O89" s="90">
        <f>J89*P89</f>
        <v>1.2714226</v>
      </c>
      <c r="P89" s="176">
        <v>1</v>
      </c>
      <c r="Q89" s="87">
        <f>_xlfn.IFS(P89&lt;=5%,1,AND(P89&gt;5%,P89&lt;=15%),2,AND(P89&gt;15%,P89&lt;=30%),3,AND(P89&gt;30%,P89&lt;=50%),4,P89&gt;50%,5)</f>
        <v>5</v>
      </c>
      <c r="R89" s="90">
        <f>J89-O89</f>
        <v>0</v>
      </c>
      <c r="S89" s="176">
        <f>R89/J89</f>
        <v>0</v>
      </c>
      <c r="T89" s="87">
        <f>_xlfn.IFS(S89&lt;=5%,1,AND(S89&gt;5%,S89&lt;=15%),2,AND(S89&gt;15%,S89&lt;=30%),3,AND(S89&gt;30%,S89&lt;=50%),4,S89&gt;50%,5)</f>
        <v>1</v>
      </c>
      <c r="U89" s="89">
        <f>AVERAGE(Q89,T89)</f>
        <v>3</v>
      </c>
      <c r="V89" s="189"/>
      <c r="W89" s="89">
        <f>AVERAGE(M89,U89)</f>
        <v>4</v>
      </c>
      <c r="X89" s="87" t="str">
        <f>_xlfn.IFS(AND(W89&gt;4,W89&lt;=5),"VERY HIGH",AND(W89&gt;3,W89&lt;=4),"HIGH",AND(W89&gt;2,W89&lt;=3),"MODERATE",AND(W89&gt;1,W89&lt;=2),"LOW",W89&lt;=1,"VERY LOW")</f>
        <v>HIGH</v>
      </c>
      <c r="Y89" s="88" t="s">
        <v>90</v>
      </c>
      <c r="Z89" s="87">
        <v>4</v>
      </c>
      <c r="AA89" s="88" t="s">
        <v>91</v>
      </c>
      <c r="AB89" s="87">
        <v>2</v>
      </c>
      <c r="AC89" s="88" t="s">
        <v>92</v>
      </c>
      <c r="AD89" s="87">
        <v>4</v>
      </c>
      <c r="AE89" s="88" t="s">
        <v>93</v>
      </c>
      <c r="AF89" s="87">
        <v>4</v>
      </c>
      <c r="AG89" s="88" t="s">
        <v>89</v>
      </c>
      <c r="AH89" s="87">
        <v>4</v>
      </c>
      <c r="AI89" s="88" t="s">
        <v>88</v>
      </c>
      <c r="AJ89" s="87">
        <v>4</v>
      </c>
      <c r="AK89" s="89">
        <f>AVERAGE(Z89,AB89,AD89,AF89,AH89,AJ89)</f>
        <v>3.6666666666666665</v>
      </c>
      <c r="AL89" s="189"/>
      <c r="AM89" s="89">
        <f>W89/AK89</f>
        <v>1.0909090909090911</v>
      </c>
      <c r="AN89" s="87" t="str">
        <f>_xlfn.IFS(AM89&lt;=1,"LOW",AND(AM89&gt;1,AM89&lt;=2),"MEDIUM LOW",AND(AM89&gt;2,AM89&lt;=3),"MEDIUM",AND(AM89&gt;3,AM89&lt;=4),"MEDIUM HIGH",AND(AM89&gt;4,AM89&lt;=5),"HIGH")</f>
        <v>MEDIUM LOW</v>
      </c>
      <c r="AO89" s="87">
        <v>3</v>
      </c>
      <c r="AP89" s="87">
        <f>AO89*C89</f>
        <v>18</v>
      </c>
      <c r="AQ89" s="87" t="str">
        <f>_xlfn.IFS(AP89&lt;=5,"LOW RISK",AND(AP89&gt;5,AP89&lt;=12),"MODERATE RISK",AP89&gt;12,"HIGH RISK")</f>
        <v>HIGH RISK</v>
      </c>
    </row>
    <row r="90" spans="1:43" s="177" customFormat="1" ht="56.25">
      <c r="A90" s="190"/>
      <c r="B90" s="87" t="s">
        <v>230</v>
      </c>
      <c r="C90" s="87">
        <v>6</v>
      </c>
      <c r="D90" s="189"/>
      <c r="E90" s="170" t="s">
        <v>315</v>
      </c>
      <c r="F90" s="186" t="s">
        <v>297</v>
      </c>
      <c r="G90" s="181" t="s">
        <v>301</v>
      </c>
      <c r="H90" s="182">
        <f>_xlfn.IFS(G90="Barangay road
City road",CEILING(2600000*1,1000),G90="Barangay road
City road
National road",CEILING(2600000*2,1000),G90="Barangay road
National road",CEILING(2600000*2,1000),G90="Barangay road",CEILING(2600000*1,1000),G90="City road",CEILING(2600000*1,1000),G90="Barangay road
City road",CEILING(2600000*1,1000),G90="National road",CEILING(2600000*2,1000),G90="Barangay road
NIA
Provincial road",CEILING(2600000*1,1000),G90="Barangay road
NIA
National road",CEILING(2600000*2,1000),G90="Barangay road
Private road
Provincial road",CEILING(2600000*1,1000),G90="Barangay road
Private road
Provincial road
National road",CEILING(2600000*2,1000),G90="Barangay road
NIA
National road
Provincial road",CEILING(2600000*2,1000),G90="Barangay road
Provincial road",CEILING(2600000*1,1000),G90="Barangay road
City road
National road
Provincial road",CEILING(2600000*2,1000),G90="Barangay road
National road
Provincial road",CEILING(2600000*2,1000))</f>
        <v>5200000</v>
      </c>
      <c r="I90" s="204">
        <v>40.996480000000005</v>
      </c>
      <c r="J90" s="187">
        <v>40.996442999999999</v>
      </c>
      <c r="K90" s="182">
        <f>H90*J90</f>
        <v>213181503.59999999</v>
      </c>
      <c r="L90" s="175">
        <f t="shared" si="2"/>
        <v>0.99999909748349114</v>
      </c>
      <c r="M90" s="170">
        <f>_xlfn.IFS(L90&lt;=5%,1,AND(L90&gt;5%,L90&lt;=15%),2,AND(L90&gt;15%,L90&lt;=30%),3,AND(L90&gt;30%,L90&lt;=50%),4,L90&gt;50%,5)</f>
        <v>5</v>
      </c>
      <c r="N90" s="188"/>
      <c r="O90" s="90">
        <f>J90*P90</f>
        <v>5.1491532407999996</v>
      </c>
      <c r="P90" s="176">
        <v>0.12559999999999999</v>
      </c>
      <c r="Q90" s="87">
        <f>_xlfn.IFS(P90&lt;=5%,1,AND(P90&gt;5%,P90&lt;=15%),2,AND(P90&gt;15%,P90&lt;=30%),3,AND(P90&gt;30%,P90&lt;=50%),4,P90&gt;50%,5)</f>
        <v>2</v>
      </c>
      <c r="R90" s="90">
        <f>J90-O90</f>
        <v>35.847289759200002</v>
      </c>
      <c r="S90" s="176">
        <f>R90/J90</f>
        <v>0.87440000000000007</v>
      </c>
      <c r="T90" s="87">
        <f>_xlfn.IFS(S90&lt;=5%,1,AND(S90&gt;5%,S90&lt;=15%),2,AND(S90&gt;15%,S90&lt;=30%),3,AND(S90&gt;30%,S90&lt;=50%),4,S90&gt;50%,5)</f>
        <v>5</v>
      </c>
      <c r="U90" s="89">
        <f>AVERAGE(Q90,T90)</f>
        <v>3.5</v>
      </c>
      <c r="V90" s="189"/>
      <c r="W90" s="89">
        <f>AVERAGE(M90,U90)</f>
        <v>4.25</v>
      </c>
      <c r="X90" s="87" t="str">
        <f>_xlfn.IFS(AND(W90&gt;4,W90&lt;=5),"VERY HIGH",AND(W90&gt;3,W90&lt;=4),"HIGH",AND(W90&gt;2,W90&lt;=3),"MODERATE",AND(W90&gt;1,W90&lt;=2),"LOW",W90&lt;=1,"VERY LOW")</f>
        <v>VERY HIGH</v>
      </c>
      <c r="Y90" s="88" t="s">
        <v>90</v>
      </c>
      <c r="Z90" s="87">
        <v>4</v>
      </c>
      <c r="AA90" s="88" t="s">
        <v>91</v>
      </c>
      <c r="AB90" s="87">
        <v>2</v>
      </c>
      <c r="AC90" s="88" t="s">
        <v>92</v>
      </c>
      <c r="AD90" s="87">
        <v>4</v>
      </c>
      <c r="AE90" s="88" t="s">
        <v>93</v>
      </c>
      <c r="AF90" s="87">
        <v>4</v>
      </c>
      <c r="AG90" s="88" t="s">
        <v>89</v>
      </c>
      <c r="AH90" s="87">
        <v>4</v>
      </c>
      <c r="AI90" s="88" t="s">
        <v>88</v>
      </c>
      <c r="AJ90" s="87">
        <v>4</v>
      </c>
      <c r="AK90" s="89">
        <f>AVERAGE(Z90,AB90,AD90,AF90,AH90,AJ90)</f>
        <v>3.6666666666666665</v>
      </c>
      <c r="AL90" s="189"/>
      <c r="AM90" s="89">
        <f>W90/AK90</f>
        <v>1.1590909090909092</v>
      </c>
      <c r="AN90" s="87" t="str">
        <f>_xlfn.IFS(AM90&lt;=1,"LOW",AND(AM90&gt;1,AM90&lt;=2),"MEDIUM LOW",AND(AM90&gt;2,AM90&lt;=3),"MEDIUM",AND(AM90&gt;3,AM90&lt;=4),"MEDIUM HIGH",AND(AM90&gt;4,AM90&lt;=5),"HIGH")</f>
        <v>MEDIUM LOW</v>
      </c>
      <c r="AO90" s="87">
        <v>1</v>
      </c>
      <c r="AP90" s="87">
        <f>AO90*C90</f>
        <v>6</v>
      </c>
      <c r="AQ90" s="87" t="str">
        <f>_xlfn.IFS(AP90&lt;=5,"LOW RISK",AND(AP90&gt;5,AP90&lt;=12),"MODERATE RISK",AP90&gt;12,"HIGH RISK")</f>
        <v>MODERATE RISK</v>
      </c>
    </row>
  </sheetData>
  <autoFilter ref="A5:AQ90" xr:uid="{AADD9B40-8A0C-4B4E-8E70-4E9ABE45F297}">
    <sortState xmlns:xlrd2="http://schemas.microsoft.com/office/spreadsheetml/2017/richdata2" ref="A6:AR90">
      <sortCondition ref="F5:F90"/>
    </sortState>
  </autoFilter>
  <mergeCells count="22">
    <mergeCell ref="AP3:AP4"/>
    <mergeCell ref="AQ3:AQ4"/>
    <mergeCell ref="P4:Q4"/>
    <mergeCell ref="S4:T4"/>
    <mergeCell ref="Y4:Z4"/>
    <mergeCell ref="AA4:AB4"/>
    <mergeCell ref="AC4:AD4"/>
    <mergeCell ref="W3:X4"/>
    <mergeCell ref="Y3:AK3"/>
    <mergeCell ref="AL3:AL4"/>
    <mergeCell ref="AM3:AM4"/>
    <mergeCell ref="AN3:AN4"/>
    <mergeCell ref="AO3:AO4"/>
    <mergeCell ref="AE4:AF4"/>
    <mergeCell ref="AG4:AH4"/>
    <mergeCell ref="AI4:AJ4"/>
    <mergeCell ref="V3:V4"/>
    <mergeCell ref="A3:A4"/>
    <mergeCell ref="B3:D3"/>
    <mergeCell ref="E3:M3"/>
    <mergeCell ref="N3:N4"/>
    <mergeCell ref="P3:U3"/>
  </mergeCells>
  <conditionalFormatting sqref="AN6:AN90">
    <cfRule type="containsText" dxfId="12" priority="9" operator="containsText" text="HIGH">
      <formula>NOT(ISERROR(SEARCH("HIGH",AN6)))</formula>
    </cfRule>
    <cfRule type="containsText" dxfId="11" priority="10" operator="containsText" text="MEDIUM HIGH">
      <formula>NOT(ISERROR(SEARCH("MEDIUM HIGH",AN6)))</formula>
    </cfRule>
    <cfRule type="containsText" dxfId="10" priority="11" operator="containsText" text="MEDIUM">
      <formula>NOT(ISERROR(SEARCH("MEDIUM",AN6)))</formula>
    </cfRule>
    <cfRule type="containsText" dxfId="9" priority="12" operator="containsText" text="MEDIUM LOW">
      <formula>NOT(ISERROR(SEARCH("MEDIUM LOW",AN6)))</formula>
    </cfRule>
    <cfRule type="containsText" dxfId="8" priority="13" operator="containsText" text="low">
      <formula>NOT(ISERROR(SEARCH("low",AN6)))</formula>
    </cfRule>
  </conditionalFormatting>
  <conditionalFormatting sqref="AQ6:AQ90">
    <cfRule type="containsText" dxfId="7" priority="6" operator="containsText" text="LOW RISK">
      <formula>NOT(ISERROR(SEARCH("LOW RISK",AQ6)))</formula>
    </cfRule>
    <cfRule type="containsText" dxfId="6" priority="7" operator="containsText" text="MODERATE RISK">
      <formula>NOT(ISERROR(SEARCH("MODERATE RISK",AQ6)))</formula>
    </cfRule>
    <cfRule type="containsText" dxfId="5" priority="8" operator="containsText" text="HIGH RISK">
      <formula>NOT(ISERROR(SEARCH("HIGH RISK",AQ6)))</formula>
    </cfRule>
  </conditionalFormatting>
  <conditionalFormatting sqref="X6:X90">
    <cfRule type="containsText" dxfId="4" priority="1" operator="containsText" text="VERY LOW">
      <formula>NOT(ISERROR(SEARCH("VERY LOW",X6)))</formula>
    </cfRule>
    <cfRule type="containsText" dxfId="3" priority="2" operator="containsText" text="LOW">
      <formula>NOT(ISERROR(SEARCH("LOW",X6)))</formula>
    </cfRule>
    <cfRule type="containsText" dxfId="2" priority="3" operator="containsText" text="MODERATE">
      <formula>NOT(ISERROR(SEARCH("MODERATE",X6)))</formula>
    </cfRule>
    <cfRule type="containsText" dxfId="1" priority="4" operator="containsText" text="HIGH">
      <formula>NOT(ISERROR(SEARCH("HIGH",X6)))</formula>
    </cfRule>
    <cfRule type="containsText" dxfId="0" priority="5" operator="containsText" text="VERY HIGH">
      <formula>NOT(ISERROR(SEARCH("VERY HIGH",X6)))</formula>
    </cfRule>
  </conditionalFormatting>
  <dataValidations count="1">
    <dataValidation showDropDown="1" showInputMessage="1" showErrorMessage="1" sqref="G6:G73 G75:G81 G83:G90" xr:uid="{00000000-0002-0000-0600-000000000000}"/>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Workshop 6b_INFRA</vt:lpstr>
      <vt:lpstr>Workshop6a-INFRA</vt:lpstr>
      <vt:lpstr>Step 5</vt:lpstr>
      <vt:lpstr>Goals &amp; Objectives</vt:lpstr>
      <vt:lpstr>Assign</vt:lpstr>
      <vt:lpstr>Summary</vt:lpstr>
      <vt:lpstr>Sheet7</vt:lpstr>
      <vt:lpstr>Sheet7 (2)</vt:lpstr>
      <vt:lpstr>3.5 Roads and Bridges</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Eyron</cp:lastModifiedBy>
  <cp:lastPrinted>2020-02-25T18:21:38Z</cp:lastPrinted>
  <dcterms:created xsi:type="dcterms:W3CDTF">2020-02-25T05:07:37Z</dcterms:created>
  <dcterms:modified xsi:type="dcterms:W3CDTF">2020-07-16T06:29:54Z</dcterms:modified>
</cp:coreProperties>
</file>