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 activeTab="3"/>
  </bookViews>
  <sheets>
    <sheet name="Livestock Poultry_drought" sheetId="1" r:id="rId1"/>
    <sheet name="Sheet2" sheetId="15" r:id="rId2"/>
    <sheet name="Pivot_LP_drought" sheetId="12" r:id="rId3"/>
    <sheet name="summary_drought_livestock" sheetId="4" r:id="rId4"/>
  </sheets>
  <externalReferences>
    <externalReference r:id="rId5"/>
    <externalReference r:id="rId6"/>
  </externalReferences>
  <definedNames>
    <definedName name="_xlnm._FilterDatabase" localSheetId="0" hidden="1">'Livestock Poultry_drought'!$A$9:$AW$57</definedName>
  </definedNames>
  <calcPr calcId="144525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7" i="1" l="1"/>
  <c r="AW8" i="1"/>
  <c r="AW9" i="1"/>
  <c r="AW10" i="1"/>
  <c r="AW12" i="1"/>
  <c r="AW13" i="1"/>
  <c r="AW15" i="1"/>
  <c r="AW16" i="1"/>
  <c r="AW17" i="1"/>
  <c r="AW6" i="1"/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6" i="1"/>
  <c r="AQ26" i="1" l="1"/>
  <c r="AC26" i="1"/>
  <c r="G26" i="1"/>
  <c r="Y26" i="1" s="1"/>
  <c r="D26" i="1"/>
  <c r="AQ25" i="1"/>
  <c r="AC25" i="1"/>
  <c r="W25" i="1"/>
  <c r="S25" i="1"/>
  <c r="G25" i="1"/>
  <c r="Y25" i="1" s="1"/>
  <c r="D25" i="1"/>
  <c r="AQ24" i="1"/>
  <c r="AC24" i="1"/>
  <c r="AS24" i="1" s="1"/>
  <c r="S24" i="1"/>
  <c r="G24" i="1"/>
  <c r="Y24" i="1" s="1"/>
  <c r="D24" i="1"/>
  <c r="AQ23" i="1"/>
  <c r="AC23" i="1"/>
  <c r="S23" i="1"/>
  <c r="G23" i="1"/>
  <c r="Y23" i="1" s="1"/>
  <c r="D23" i="1"/>
  <c r="AQ22" i="1"/>
  <c r="AC22" i="1"/>
  <c r="AS22" i="1" s="1"/>
  <c r="W22" i="1"/>
  <c r="S22" i="1"/>
  <c r="G22" i="1"/>
  <c r="Y22" i="1" s="1"/>
  <c r="D22" i="1"/>
  <c r="AQ21" i="1"/>
  <c r="AC21" i="1"/>
  <c r="W21" i="1"/>
  <c r="S21" i="1"/>
  <c r="G21" i="1"/>
  <c r="Y21" i="1" s="1"/>
  <c r="D21" i="1"/>
  <c r="AQ20" i="1"/>
  <c r="AC20" i="1"/>
  <c r="S20" i="1"/>
  <c r="G20" i="1"/>
  <c r="Y20" i="1" s="1"/>
  <c r="D20" i="1"/>
  <c r="AQ19" i="1"/>
  <c r="AC19" i="1"/>
  <c r="W19" i="1"/>
  <c r="S19" i="1"/>
  <c r="G19" i="1"/>
  <c r="Y19" i="1" s="1"/>
  <c r="D19" i="1"/>
  <c r="AQ18" i="1"/>
  <c r="AC18" i="1"/>
  <c r="W18" i="1"/>
  <c r="U18" i="1"/>
  <c r="S18" i="1"/>
  <c r="G18" i="1"/>
  <c r="Y18" i="1" s="1"/>
  <c r="D18" i="1"/>
  <c r="AQ17" i="1"/>
  <c r="AC17" i="1"/>
  <c r="U17" i="1"/>
  <c r="S17" i="1"/>
  <c r="G17" i="1"/>
  <c r="Y17" i="1" s="1"/>
  <c r="D17" i="1"/>
  <c r="AQ16" i="1"/>
  <c r="AC16" i="1"/>
  <c r="S16" i="1"/>
  <c r="G16" i="1"/>
  <c r="Y16" i="1" s="1"/>
  <c r="D16" i="1"/>
  <c r="AQ15" i="1"/>
  <c r="AC15" i="1"/>
  <c r="S15" i="1"/>
  <c r="G15" i="1"/>
  <c r="Y15" i="1" s="1"/>
  <c r="D15" i="1"/>
  <c r="AQ14" i="1"/>
  <c r="AC14" i="1"/>
  <c r="S14" i="1"/>
  <c r="G14" i="1"/>
  <c r="Y14" i="1" s="1"/>
  <c r="D14" i="1"/>
  <c r="AV14" i="1"/>
  <c r="AW14" i="1" s="1"/>
  <c r="AQ13" i="1"/>
  <c r="AC13" i="1"/>
  <c r="W13" i="1"/>
  <c r="S13" i="1"/>
  <c r="G13" i="1"/>
  <c r="Y13" i="1" s="1"/>
  <c r="D13" i="1"/>
  <c r="AV13" i="1"/>
  <c r="AQ12" i="1"/>
  <c r="AC12" i="1"/>
  <c r="S12" i="1"/>
  <c r="G12" i="1"/>
  <c r="Y12" i="1" s="1"/>
  <c r="D12" i="1"/>
  <c r="AV12" i="1"/>
  <c r="AQ11" i="1"/>
  <c r="AC11" i="1"/>
  <c r="W11" i="1"/>
  <c r="S11" i="1"/>
  <c r="Q11" i="1"/>
  <c r="G11" i="1"/>
  <c r="Y11" i="1" s="1"/>
  <c r="D11" i="1"/>
  <c r="AV11" i="1"/>
  <c r="AW11" i="1" s="1"/>
  <c r="AQ10" i="1"/>
  <c r="AC10" i="1"/>
  <c r="W10" i="1"/>
  <c r="U10" i="1"/>
  <c r="S10" i="1"/>
  <c r="G10" i="1"/>
  <c r="Y10" i="1" s="1"/>
  <c r="D10" i="1"/>
  <c r="AV10" i="1"/>
  <c r="AQ9" i="1"/>
  <c r="AC9" i="1"/>
  <c r="AS9" i="1" s="1"/>
  <c r="AT9" i="1" s="1"/>
  <c r="W9" i="1"/>
  <c r="S9" i="1"/>
  <c r="G9" i="1"/>
  <c r="Y9" i="1" s="1"/>
  <c r="D9" i="1"/>
  <c r="AV9" i="1"/>
  <c r="AQ8" i="1"/>
  <c r="AC8" i="1"/>
  <c r="W8" i="1"/>
  <c r="S8" i="1"/>
  <c r="G8" i="1"/>
  <c r="Y8" i="1" s="1"/>
  <c r="D8" i="1"/>
  <c r="AV8" i="1"/>
  <c r="AQ7" i="1"/>
  <c r="AC7" i="1"/>
  <c r="W7" i="1"/>
  <c r="U7" i="1"/>
  <c r="S7" i="1"/>
  <c r="G7" i="1"/>
  <c r="Y7" i="1" s="1"/>
  <c r="AV7" i="1"/>
  <c r="AQ6" i="1"/>
  <c r="AC6" i="1"/>
  <c r="W6" i="1"/>
  <c r="S6" i="1"/>
  <c r="G6" i="1"/>
  <c r="Y6" i="1" s="1"/>
  <c r="AV6" i="1"/>
  <c r="AS7" i="1" l="1"/>
  <c r="AT7" i="1" s="1"/>
  <c r="AS19" i="1"/>
  <c r="AV19" i="1" s="1"/>
  <c r="AW19" i="1" s="1"/>
  <c r="AS10" i="1"/>
  <c r="AT10" i="1" s="1"/>
  <c r="AD10" i="1"/>
  <c r="AS12" i="1"/>
  <c r="AT12" i="1" s="1"/>
  <c r="AD12" i="1"/>
  <c r="AS26" i="1"/>
  <c r="AV26" i="1" s="1"/>
  <c r="AW26" i="1" s="1"/>
  <c r="AD11" i="1"/>
  <c r="AS11" i="1"/>
  <c r="AT11" i="1" s="1"/>
  <c r="AD14" i="1"/>
  <c r="AS14" i="1"/>
  <c r="AT14" i="1" s="1"/>
  <c r="AV24" i="1"/>
  <c r="AW24" i="1" s="1"/>
  <c r="AT24" i="1"/>
  <c r="AD6" i="1"/>
  <c r="AS6" i="1"/>
  <c r="AT6" i="1" s="1"/>
  <c r="AS25" i="1"/>
  <c r="AD25" i="1"/>
  <c r="AD8" i="1"/>
  <c r="AS8" i="1"/>
  <c r="AT8" i="1" s="1"/>
  <c r="AS13" i="1"/>
  <c r="AT13" i="1" s="1"/>
  <c r="AD13" i="1"/>
  <c r="AS21" i="1"/>
  <c r="AD21" i="1"/>
  <c r="AD23" i="1"/>
  <c r="AS23" i="1"/>
  <c r="AD17" i="1"/>
  <c r="AS17" i="1"/>
  <c r="AD18" i="1"/>
  <c r="AS18" i="1"/>
  <c r="AD20" i="1"/>
  <c r="AS20" i="1"/>
  <c r="AV22" i="1"/>
  <c r="AW22" i="1" s="1"/>
  <c r="AT22" i="1"/>
  <c r="AD15" i="1"/>
  <c r="AS15" i="1"/>
  <c r="AD16" i="1"/>
  <c r="AS16" i="1"/>
  <c r="AT19" i="1"/>
  <c r="AD7" i="1"/>
  <c r="AD9" i="1"/>
  <c r="AD19" i="1"/>
  <c r="AD22" i="1"/>
  <c r="AD24" i="1"/>
  <c r="AD26" i="1"/>
  <c r="AT26" i="1" l="1"/>
  <c r="AU16" i="1"/>
  <c r="AV16" i="1" s="1"/>
  <c r="AT16" i="1"/>
  <c r="AV20" i="1"/>
  <c r="AW20" i="1" s="1"/>
  <c r="AT20" i="1"/>
  <c r="AU17" i="1"/>
  <c r="AV17" i="1" s="1"/>
  <c r="AT17" i="1"/>
  <c r="AT21" i="1"/>
  <c r="AV21" i="1"/>
  <c r="AW21" i="1" s="1"/>
  <c r="AT15" i="1"/>
  <c r="AU15" i="1"/>
  <c r="AV15" i="1" s="1"/>
  <c r="AV18" i="1"/>
  <c r="AW18" i="1" s="1"/>
  <c r="AT18" i="1"/>
  <c r="AV23" i="1"/>
  <c r="AW23" i="1" s="1"/>
  <c r="AT23" i="1"/>
  <c r="AT25" i="1"/>
  <c r="AV25" i="1"/>
  <c r="AW25" i="1" s="1"/>
</calcChain>
</file>

<file path=xl/sharedStrings.xml><?xml version="1.0" encoding="utf-8"?>
<sst xmlns="http://schemas.openxmlformats.org/spreadsheetml/2006/main" count="740" uniqueCount="222">
  <si>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</si>
  <si>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</si>
  <si>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</si>
  <si>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</si>
  <si>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</si>
  <si>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</si>
  <si>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</si>
  <si>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</si>
  <si>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</si>
  <si>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</si>
  <si>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</si>
  <si>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</si>
  <si>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</si>
  <si>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</si>
  <si>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</si>
  <si>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</si>
  <si>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</si>
  <si>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</si>
  <si>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</si>
  <si>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</si>
  <si>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Livestock Farming Dependent Households</t>
  </si>
  <si>
    <t>Total Area allocation (hectares)</t>
  </si>
  <si>
    <t xml:space="preserve">Dominant Livestock </t>
  </si>
  <si>
    <t>Ave. Output per head (Php)</t>
  </si>
  <si>
    <t>Area affected by hazard</t>
  </si>
  <si>
    <t>Exposure Percentage</t>
  </si>
  <si>
    <t>Exposure Score</t>
  </si>
  <si>
    <t>Percentage of Poor Households</t>
  </si>
  <si>
    <t>Percentage of farmers without access to hazard information</t>
  </si>
  <si>
    <t>Percentage of areas without technical support</t>
  </si>
  <si>
    <t>Percentage of areas with infrastructure coverage</t>
  </si>
  <si>
    <t>Percentage of areas without water and electricity</t>
  </si>
  <si>
    <t>Percentage of farmers without alternative livelihood</t>
  </si>
  <si>
    <t>Average Sensitivity Score</t>
  </si>
  <si>
    <t>Wealth</t>
  </si>
  <si>
    <t>Technology</t>
  </si>
  <si>
    <t>Infrastructure</t>
  </si>
  <si>
    <t>Information</t>
  </si>
  <si>
    <t>Institutional/Government Investments</t>
  </si>
  <si>
    <t>Social</t>
  </si>
  <si>
    <t>Ave. Adaptive Capacity</t>
  </si>
  <si>
    <t>(Be consistent with the city-wide hazards)</t>
  </si>
  <si>
    <t>Score (1-6)</t>
  </si>
  <si>
    <t>input will depend on what type of hazard</t>
  </si>
  <si>
    <t>No. HH dependent on agriculture</t>
  </si>
  <si>
    <t>Area of agricultural lands (hectares)</t>
  </si>
  <si>
    <t>list dominant</t>
  </si>
  <si>
    <t>Exposed agricultural lands (hectares)</t>
  </si>
  <si>
    <t>Exposed area divided by total agricultural area</t>
  </si>
  <si>
    <t>%</t>
  </si>
  <si>
    <t>Sensitivity Score</t>
  </si>
  <si>
    <t>Total Sensitivity divided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</si>
  <si>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</si>
  <si>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</si>
  <si>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</si>
  <si>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</si>
  <si>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</si>
  <si>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</si>
  <si>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</si>
  <si>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</si>
  <si>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</si>
  <si>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See Scoring</t>
  </si>
  <si>
    <t>Lowland</t>
  </si>
  <si>
    <t xml:space="preserve">Ambago </t>
  </si>
  <si>
    <t>Goat</t>
  </si>
  <si>
    <t>Rehab seeds from Department of Agriculture, PCIC, SURE Loan, Sure AID Loan</t>
  </si>
  <si>
    <t>IEC on Climate Smart Agriculture, research study on flood reselient variety</t>
  </si>
  <si>
    <t>hand tractor, MPDPs, Manual thresher</t>
  </si>
  <si>
    <t xml:space="preserve">Primitive Early Warning System (batingaw,bell, kampana) `IEC materials, signages, social media, text messages, tv, radios
</t>
  </si>
  <si>
    <t xml:space="preserve">Forced evacuation ordinance, contingency plan, DRRMP
</t>
  </si>
  <si>
    <t>FAs, IAs, LFTs, Agricultural Technologist</t>
  </si>
  <si>
    <t>Ampayon</t>
  </si>
  <si>
    <t>Cattle</t>
  </si>
  <si>
    <t>IEC on Climate Smart Agriculture, research study on flood reselient variety, Organic Agriculture Technology</t>
  </si>
  <si>
    <t>4 wheel tractor, hand tractor, rice mills, corn mills, MPDPs, mechanical dryers, manual thresher, mechanical thresher</t>
  </si>
  <si>
    <t>Baan Km. 3</t>
  </si>
  <si>
    <t>IEC on Climate Smart Agriculture, research study on flood reselient varietyOrganic Agriculture Technology</t>
  </si>
  <si>
    <t>floating tiller, hand tractor, MPDP, manual thresher</t>
  </si>
  <si>
    <t>upland</t>
  </si>
  <si>
    <t>Bancasi</t>
  </si>
  <si>
    <t>hand tractor, rice mills, corn mills, MPDP</t>
  </si>
  <si>
    <t>lowland</t>
  </si>
  <si>
    <t>Basag</t>
  </si>
  <si>
    <t>Hogs</t>
  </si>
  <si>
    <t>hand tarctor, rice mill, MPDPs, manual thresher, mechanical thresher, corn sheller, reaper</t>
  </si>
  <si>
    <t>Bit-os</t>
  </si>
  <si>
    <t>chicken</t>
  </si>
  <si>
    <t xml:space="preserve">IEC on Climate Smart Agriculture, research study on flood reselient variety, Organic Agriculture Technology
</t>
  </si>
  <si>
    <t>hand tractor, corn mills, MPDPs, mechanical dryers, manual thresher, mechanical threshers</t>
  </si>
  <si>
    <t>Bitan-agan</t>
  </si>
  <si>
    <t>hand tractor, rice mills, corn mills, MPDPs, mechanical dryers, manual thresher, mechanical threshers, floating tiller</t>
  </si>
  <si>
    <t>Cabcabon</t>
  </si>
  <si>
    <t>Layers</t>
  </si>
  <si>
    <t>hand tractor, rice mills, MPDPs, manual thresher, corn sheller</t>
  </si>
  <si>
    <t>Don Francisco</t>
  </si>
  <si>
    <t>PCIC</t>
  </si>
  <si>
    <t>IEC, Organic Agriculture Technology</t>
  </si>
  <si>
    <t>MPDP</t>
  </si>
  <si>
    <t>Florida</t>
  </si>
  <si>
    <t>IEC, research study on salinity reselient variety</t>
  </si>
  <si>
    <t>hand tractor, rice mills, corn mills, MPDPs, manual thresher, mechanical threshers</t>
  </si>
  <si>
    <t>Kinamlutan</t>
  </si>
  <si>
    <t>Gamefowl</t>
  </si>
  <si>
    <t>hand tractor, rice mills, corn mills, MPDPs, mechanical dryers, manual thresher, mechanical threshers</t>
  </si>
  <si>
    <t>Mla.de Bugabus</t>
  </si>
  <si>
    <t xml:space="preserve"> rice mills, corn mills, MPDPs, mechanical dryers, corn sheller</t>
  </si>
  <si>
    <t>Lemon</t>
  </si>
  <si>
    <t>four wheel drive tractor, hand tractor, rice mills, corn mills, MPDPs, mechanical dryers, manual thresher, mechanical threshers</t>
  </si>
  <si>
    <t xml:space="preserve">Libertad </t>
  </si>
  <si>
    <t>Los Angeles</t>
  </si>
  <si>
    <t>Layer</t>
  </si>
  <si>
    <t>Pigdaulan</t>
  </si>
  <si>
    <t>four wheel drive tractor, hand tractor, rice mills, corn mills, MPDPs, mechanical dryers,  mechanical threshers</t>
  </si>
  <si>
    <t>San Vicente</t>
  </si>
  <si>
    <t>Sumile</t>
  </si>
  <si>
    <t>IEC on Climate Smart Agriculture, Organic Agriculture Technology</t>
  </si>
  <si>
    <t>manual thresher</t>
  </si>
  <si>
    <t>Sumilihon</t>
  </si>
  <si>
    <t xml:space="preserve">hand tractor, rice mills,  MPDPs,  manual thresher, </t>
  </si>
  <si>
    <t>Tiniwisan</t>
  </si>
  <si>
    <t>four wheel drive tarctor, hand tractor, rice mills, corn mills, MPDPs, mechanical dryers, manual thresher, mechanical threshers, corn sheller</t>
  </si>
  <si>
    <t>Tungao</t>
  </si>
  <si>
    <t xml:space="preserve">IEC, Organic Agriculture Technology
</t>
  </si>
  <si>
    <t>Severe</t>
  </si>
  <si>
    <t>MEDIUM HIGH</t>
  </si>
  <si>
    <t>MEDIUM LOW</t>
  </si>
  <si>
    <t>Slight</t>
  </si>
  <si>
    <t>Moderate</t>
  </si>
  <si>
    <t>HIGH RISK</t>
  </si>
  <si>
    <t>MEDIUM</t>
  </si>
  <si>
    <t>LOW</t>
  </si>
  <si>
    <t>LOW RISK</t>
  </si>
  <si>
    <t>MODERATE RISK</t>
  </si>
  <si>
    <t>Sector</t>
  </si>
  <si>
    <t>Sub-sector</t>
  </si>
  <si>
    <t>SS_Percentage of Poor Households</t>
  </si>
  <si>
    <t>SS_Percentage of Poor Households_score</t>
  </si>
  <si>
    <t>SS_Percentage of farmers without access to hazard information</t>
  </si>
  <si>
    <t>SS_Percentage of farmers without access to hazard information_score</t>
  </si>
  <si>
    <t>SS_Percentage of areas without technical support</t>
  </si>
  <si>
    <t>SS_Percentage of areas without technical support_score</t>
  </si>
  <si>
    <t>SS_Percentage of areas with infrastructure coverage</t>
  </si>
  <si>
    <t>SS_Percentage of areas with infrastructure coverage_score</t>
  </si>
  <si>
    <t>SS_Percentage of areas without water and electricity</t>
  </si>
  <si>
    <t>SS_Percentage of areas without water and electricity_score</t>
  </si>
  <si>
    <t>SS_Percentage of farmers without alternative livelihood</t>
  </si>
  <si>
    <t>SS_Percentage of farmers without alternative livelihood_score</t>
  </si>
  <si>
    <t>AC_Wealth</t>
  </si>
  <si>
    <t>AC_Wealth_score</t>
  </si>
  <si>
    <t>AC_Technology_score</t>
  </si>
  <si>
    <t>AC_Technology</t>
  </si>
  <si>
    <t>AC_Infrastructure</t>
  </si>
  <si>
    <t>AC_Infrastructure_score</t>
  </si>
  <si>
    <t>AC_nformation</t>
  </si>
  <si>
    <t>AC_nformation_score</t>
  </si>
  <si>
    <t>AC_Institutional/Government Investments</t>
  </si>
  <si>
    <t>AC_Institutional/Government Investments_score</t>
  </si>
  <si>
    <t>AC_Social</t>
  </si>
  <si>
    <t>AC_Social_score</t>
  </si>
  <si>
    <t>AC_score</t>
  </si>
  <si>
    <t>Economic</t>
  </si>
  <si>
    <t>Agriculture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</si>
  <si>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</si>
  <si>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</si>
  <si>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</si>
  <si>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</si>
  <si>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</si>
  <si>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</si>
  <si>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</si>
  <si>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</si>
  <si>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</si>
  <si>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</si>
  <si>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>The degee of impact and adaptive capacity is moderate with low vulnerability</t>
  </si>
  <si>
    <t>Upland</t>
  </si>
  <si>
    <t>Row Labels</t>
  </si>
  <si>
    <t>Grand Total</t>
  </si>
  <si>
    <t xml:space="preserve">13 brgys
</t>
  </si>
  <si>
    <t>8 brgys</t>
  </si>
  <si>
    <t>Low  self- esteem of livestock growers</t>
  </si>
  <si>
    <t>Low supply of meat products thus high market price due to high demand</t>
  </si>
  <si>
    <t>Low supply of dairy products thus
higher price of basic commodities
Delays delivery of products due to transport problems
Damage agricultural infrastructure</t>
  </si>
  <si>
    <t>Layers
Hogs</t>
  </si>
  <si>
    <t>Cattle
Goat</t>
  </si>
  <si>
    <t>Cattle
Gamefowl</t>
  </si>
  <si>
    <t>Layer
Ducks</t>
  </si>
  <si>
    <t>Hogs
Layer</t>
  </si>
  <si>
    <t>Carabao
Cattle
Goat
Hogs
Broiler</t>
  </si>
  <si>
    <t>Layer
Hogs</t>
  </si>
  <si>
    <t>Sow
Piglet
Boar
Fattening</t>
  </si>
  <si>
    <t>Broilers
Fighting Cocks</t>
  </si>
  <si>
    <t>Low income and profit for livestock growers</t>
  </si>
  <si>
    <t xml:space="preserve">3,093 HH are dependedent to livestock farming </t>
  </si>
  <si>
    <t xml:space="preserve">5,661  HH are dependedent to livestock farming </t>
  </si>
  <si>
    <t>1.7% of the agricultural area</t>
  </si>
  <si>
    <t>7% of the agricultural area</t>
  </si>
  <si>
    <t xml:space="preserve">4,271 hectares are affected </t>
  </si>
  <si>
    <t xml:space="preserve">1,151 hectares are affected </t>
  </si>
  <si>
    <t>5.85% of the farmers does not have access to hazard information</t>
  </si>
  <si>
    <t>3.9% of the farmers does not have access to hazard information</t>
  </si>
  <si>
    <t>8.53% area are with infrastructure coverage</t>
  </si>
  <si>
    <t>3.91% area are with infrastructure coverage</t>
  </si>
  <si>
    <t xml:space="preserve">
11.39% of the population without water/electrical connection</t>
  </si>
  <si>
    <t>7.85% of the population without water/electrical connection</t>
  </si>
  <si>
    <t>5.65% of poor household</t>
  </si>
  <si>
    <t>4.84% of poor household</t>
  </si>
  <si>
    <t>SS_Score</t>
  </si>
  <si>
    <t>3.01= Moderate</t>
  </si>
  <si>
    <t>3.04= Moderate</t>
  </si>
  <si>
    <t>Average of Risk Score</t>
  </si>
  <si>
    <t>Php71,976,500 annual income per year</t>
  </si>
  <si>
    <t>Php16, 752,000 annual income per hectare per year</t>
  </si>
  <si>
    <t>Drought</t>
  </si>
  <si>
    <t>High</t>
  </si>
  <si>
    <t>HIGH</t>
  </si>
  <si>
    <t>3.76= Moderate</t>
  </si>
  <si>
    <t>3.06= Moderate</t>
  </si>
  <si>
    <t>Average of Vulnerability Score</t>
  </si>
  <si>
    <t xml:space="preserve">1.24= Low </t>
  </si>
  <si>
    <t>1.00= Low</t>
  </si>
  <si>
    <t>Risk level for lowland areas is Low</t>
  </si>
  <si>
    <t>VERY HIGH RISK</t>
  </si>
  <si>
    <t>Risk level for upland areas is 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</si>
</sst>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1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164" fontId="5" fillId="4" borderId="9" xfId="1" applyFont="1" applyFill="1" applyBorder="1" applyAlignment="1">
      <alignment horizontal="center" vertical="center" wrapText="1"/>
    </xf>
    <xf numFmtId="10" fontId="5" fillId="4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164" fontId="6" fillId="8" borderId="15" xfId="1" applyFont="1" applyFill="1" applyBorder="1" applyAlignment="1">
      <alignment horizontal="center" vertical="center" wrapText="1"/>
    </xf>
    <xf numFmtId="10" fontId="6" fillId="8" borderId="15" xfId="0" applyNumberFormat="1" applyFont="1" applyFill="1" applyBorder="1" applyAlignment="1">
      <alignment horizontal="center" vertical="center" wrapText="1"/>
    </xf>
    <xf numFmtId="165" fontId="6" fillId="8" borderId="15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164" fontId="7" fillId="0" borderId="9" xfId="1" applyFont="1" applyBorder="1" applyAlignment="1">
      <alignment vertical="center"/>
    </xf>
    <xf numFmtId="10" fontId="7" fillId="0" borderId="9" xfId="0" applyNumberFormat="1" applyFont="1" applyBorder="1" applyAlignment="1">
      <alignment vertical="center"/>
    </xf>
    <xf numFmtId="166" fontId="7" fillId="0" borderId="9" xfId="0" applyNumberFormat="1" applyFont="1" applyBorder="1" applyAlignment="1">
      <alignment vertical="center"/>
    </xf>
    <xf numFmtId="9" fontId="0" fillId="0" borderId="9" xfId="2" applyFont="1" applyBorder="1" applyAlignment="1">
      <alignment vertical="center"/>
    </xf>
    <xf numFmtId="2" fontId="7" fillId="0" borderId="9" xfId="2" applyNumberFormat="1" applyFont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vertical="center"/>
    </xf>
    <xf numFmtId="2" fontId="7" fillId="9" borderId="9" xfId="0" applyNumberFormat="1" applyFont="1" applyFill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9" xfId="0" applyNumberFormat="1" applyFont="1" applyBorder="1" applyAlignment="1">
      <alignment vertical="center"/>
    </xf>
    <xf numFmtId="9" fontId="7" fillId="0" borderId="9" xfId="2" applyFont="1" applyBorder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9" xfId="0" applyNumberForma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10" fontId="7" fillId="0" borderId="9" xfId="2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64" fontId="5" fillId="0" borderId="9" xfId="1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1" fillId="0" borderId="0" xfId="0" applyFont="1"/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wrapText="1"/>
    </xf>
    <xf numFmtId="0" fontId="11" fillId="0" borderId="0" xfId="0" applyFont="1" applyBorder="1"/>
    <xf numFmtId="0" fontId="11" fillId="0" borderId="24" xfId="0" applyFont="1" applyBorder="1"/>
    <xf numFmtId="0" fontId="11" fillId="0" borderId="9" xfId="0" applyFont="1" applyBorder="1" applyAlignment="1">
      <alignment horizontal="left" vertical="center"/>
    </xf>
    <xf numFmtId="0" fontId="11" fillId="0" borderId="16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12" xfId="0" applyFont="1" applyBorder="1"/>
    <xf numFmtId="0" fontId="11" fillId="0" borderId="22" xfId="0" applyFont="1" applyBorder="1" applyAlignment="1">
      <alignment horizontal="center" vertical="top"/>
    </xf>
    <xf numFmtId="0" fontId="11" fillId="0" borderId="23" xfId="0" applyFont="1" applyBorder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165" fontId="5" fillId="0" borderId="9" xfId="0" applyNumberFormat="1" applyFont="1" applyFill="1" applyBorder="1" applyAlignment="1">
      <alignment vertical="center" wrapText="1"/>
    </xf>
    <xf numFmtId="0" fontId="0" fillId="0" borderId="9" xfId="0" applyBorder="1"/>
    <xf numFmtId="165" fontId="5" fillId="6" borderId="6" xfId="0" applyNumberFormat="1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0" fontId="0" fillId="0" borderId="9" xfId="0" applyBorder="1" applyAlignment="1">
      <alignment wrapText="1"/>
    </xf>
  </cellXfs>
  <cellStyles count="4">
    <cellStyle name="Comma" xfId="1" builtinId="3"/>
    <cellStyle name="Neutral" xfId="3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IDALOR%20FILES%202020/Planning/Feb.26,%202020/Farming%20Household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IDALOR%20FILES%202020/Planning/Feb.26,%202020/3.1_Agriculture%20-%20livest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I6">
            <v>30</v>
          </cell>
        </row>
        <row r="8">
          <cell r="I8">
            <v>150</v>
          </cell>
        </row>
        <row r="12">
          <cell r="I12">
            <v>210</v>
          </cell>
        </row>
        <row r="14">
          <cell r="I14">
            <v>400</v>
          </cell>
        </row>
        <row r="17">
          <cell r="I17">
            <v>496</v>
          </cell>
        </row>
        <row r="19">
          <cell r="I19">
            <v>280</v>
          </cell>
        </row>
        <row r="20">
          <cell r="I20">
            <v>89</v>
          </cell>
        </row>
        <row r="24">
          <cell r="I24">
            <v>300</v>
          </cell>
        </row>
        <row r="28">
          <cell r="I28">
            <v>95</v>
          </cell>
        </row>
        <row r="32">
          <cell r="I32">
            <v>500</v>
          </cell>
        </row>
        <row r="33">
          <cell r="I33">
            <v>360</v>
          </cell>
        </row>
        <row r="34">
          <cell r="I34">
            <v>220</v>
          </cell>
        </row>
        <row r="35">
          <cell r="I35">
            <v>1150</v>
          </cell>
        </row>
        <row r="36">
          <cell r="I36">
            <v>830</v>
          </cell>
        </row>
        <row r="42">
          <cell r="I42">
            <v>697</v>
          </cell>
        </row>
        <row r="50">
          <cell r="I50">
            <v>245</v>
          </cell>
        </row>
        <row r="54">
          <cell r="I54">
            <v>620</v>
          </cell>
        </row>
        <row r="56">
          <cell r="I56">
            <v>352</v>
          </cell>
        </row>
        <row r="57">
          <cell r="I57">
            <v>700</v>
          </cell>
        </row>
        <row r="61">
          <cell r="I61">
            <v>350</v>
          </cell>
        </row>
        <row r="62">
          <cell r="I62">
            <v>680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1 Crop"/>
      <sheetName val="3.1.2 Livestock and Poultry"/>
      <sheetName val="3.1.3 Critical Infrastructure"/>
      <sheetName val="3.1.4 Fisheries or Coastal"/>
      <sheetName val="Sheet1"/>
    </sheetNames>
    <sheetDataSet>
      <sheetData sheetId="0">
        <row r="6">
          <cell r="C6">
            <v>6</v>
          </cell>
        </row>
        <row r="12">
          <cell r="D12" t="str">
            <v>Moderate</v>
          </cell>
        </row>
        <row r="14">
          <cell r="D14" t="str">
            <v>Slight</v>
          </cell>
        </row>
        <row r="17">
          <cell r="D17" t="str">
            <v>Slight</v>
          </cell>
        </row>
        <row r="20">
          <cell r="D20" t="str">
            <v>Slight</v>
          </cell>
        </row>
        <row r="21">
          <cell r="D21" t="str">
            <v>Severe</v>
          </cell>
        </row>
        <row r="26">
          <cell r="D26" t="str">
            <v>Moderate</v>
          </cell>
        </row>
        <row r="30">
          <cell r="D30" t="str">
            <v>Slight</v>
          </cell>
        </row>
        <row r="34">
          <cell r="D34" t="str">
            <v>Slight</v>
          </cell>
        </row>
        <row r="35">
          <cell r="D35" t="str">
            <v>Severe</v>
          </cell>
        </row>
        <row r="36">
          <cell r="D36" t="str">
            <v>Slight</v>
          </cell>
        </row>
        <row r="37">
          <cell r="D37" t="str">
            <v>Severe</v>
          </cell>
        </row>
        <row r="38">
          <cell r="D38" t="str">
            <v>Slight</v>
          </cell>
        </row>
        <row r="45">
          <cell r="D45" t="str">
            <v>Slight</v>
          </cell>
        </row>
        <row r="51">
          <cell r="D51" t="str">
            <v>Slight</v>
          </cell>
        </row>
        <row r="55">
          <cell r="D55" t="str">
            <v>Severe</v>
          </cell>
        </row>
        <row r="57">
          <cell r="D57" t="str">
            <v>Slight</v>
          </cell>
        </row>
        <row r="58">
          <cell r="D58" t="str">
            <v>Slight</v>
          </cell>
        </row>
        <row r="62">
          <cell r="D62" t="str">
            <v>Slight</v>
          </cell>
        </row>
        <row r="63">
          <cell r="D63" t="str">
            <v>Slight</v>
          </cell>
        </row>
      </sheetData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007.534617939818" createdVersion="4" refreshedVersion="4" minRefreshableVersion="3" recordCount="21">
  <cacheSource type="worksheet">
    <worksheetSource ref="A1:AX22" sheet="Pivot_LP_drought"/>
  </cacheSource>
  <cacheFields count="50">
    <cacheField name="Sector" numFmtId="0">
      <sharedItems/>
    </cacheField>
    <cacheField name="Sub-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4" maxValue="4"/>
    </cacheField>
    <cacheField name="Magnitude or Depth" numFmtId="0">
      <sharedItems/>
    </cacheField>
    <cacheField name="Geographical Area or Ecosystem" numFmtId="0">
      <sharedItems count="2">
        <s v="Lowland"/>
        <s v="upland"/>
      </sharedItems>
    </cacheField>
    <cacheField name="Barangay" numFmtId="0">
      <sharedItems/>
    </cacheField>
    <cacheField name="No. of Livestock Farming Dependent Households" numFmtId="0">
      <sharedItems containsSemiMixedTypes="0" containsString="0" containsNumber="1" containsInteger="1" minValue="30" maxValue="1150"/>
    </cacheField>
    <cacheField name="Total Area allocation (hectares)" numFmtId="0">
      <sharedItems containsSemiMixedTypes="0" containsString="0" containsNumber="1" minValue="93.6173" maxValue="1995.4369999999999"/>
    </cacheField>
    <cacheField name="Dominant Livestock " numFmtId="0">
      <sharedItems/>
    </cacheField>
    <cacheField name="Ave. Output per head (Php)" numFmtId="0">
      <sharedItems containsSemiMixedTypes="0" containsString="0" containsNumber="1" containsInteger="1" minValue="130000" maxValue="26500000"/>
    </cacheField>
    <cacheField name="Area affected by hazard" numFmtId="0">
      <sharedItems containsSemiMixedTypes="0" containsString="0" containsNumber="1" minValue="6.979133" maxValue="639.79899999999998"/>
    </cacheField>
    <cacheField name="Exposure Percentage" numFmtId="0">
      <sharedItems containsSemiMixedTypes="0" containsString="0" containsNumber="1" minValue="4.6082701653372769E-2" maxValue="0.95300144416030896"/>
    </cacheField>
    <cacheField name="Exposure Score" numFmtId="0">
      <sharedItems containsSemiMixedTypes="0" containsString="0" containsNumber="1" containsInteger="1" minValue="1" maxValue="5"/>
    </cacheField>
    <cacheField name="Summary of Findings (Exposure)" numFmtId="0">
      <sharedItems containsNonDate="0" containsString="0" containsBlank="1"/>
    </cacheField>
    <cacheField name="SS_Percentage of Poor Households" numFmtId="0">
      <sharedItems containsSemiMixedTypes="0" containsString="0" containsNumber="1" minValue="0.13721404093729739" maxValue="0.87915262397688976"/>
    </cacheField>
    <cacheField name="SS_Percentage of Poor Households_score" numFmtId="0">
      <sharedItems containsSemiMixedTypes="0" containsString="0" containsNumber="1" containsInteger="1" minValue="2" maxValue="5"/>
    </cacheField>
    <cacheField name="SS_Percentage of farmers without access to hazard information" numFmtId="0">
      <sharedItems containsSemiMixedTypes="0" containsString="0" containsNumber="1" minValue="0.19999999999999996" maxValue="0.55000000000000004"/>
    </cacheField>
    <cacheField name="SS_Percentage of farmers without access to hazard information_score" numFmtId="0">
      <sharedItems containsSemiMixedTypes="0" containsString="0" containsNumber="1" containsInteger="1" minValue="3" maxValue="5"/>
    </cacheField>
    <cacheField name="SS_Percentage of areas without technical support" numFmtId="0">
      <sharedItems containsSemiMixedTypes="0" containsString="0" containsNumber="1" minValue="0.19799999999999995" maxValue="0.44999999999999996"/>
    </cacheField>
    <cacheField name="SS_Percentage of areas without technical support_score" numFmtId="0">
      <sharedItems containsSemiMixedTypes="0" containsString="0" containsNumber="1" containsInteger="1" minValue="1" maxValue="3"/>
    </cacheField>
    <cacheField name="SS_Percentage of areas with infrastructure coverage" numFmtId="0">
      <sharedItems containsSemiMixedTypes="0" containsString="0" containsNumber="1" minValue="0.24166695391403292" maxValue="0.89"/>
    </cacheField>
    <cacheField name="SS_Percentage of areas with infrastructure coverage_score" numFmtId="0">
      <sharedItems containsSemiMixedTypes="0" containsString="0" containsNumber="1" containsInteger="1" minValue="2" maxValue="5"/>
    </cacheField>
    <cacheField name="SS_Percentage of areas without water and electricity" numFmtId="0">
      <sharedItems containsSemiMixedTypes="0" containsString="0" containsNumber="1" minValue="0.73256460127813305" maxValue="1"/>
    </cacheField>
    <cacheField name="SS_Percentage of areas without water and electricity_score" numFmtId="0">
      <sharedItems containsSemiMixedTypes="0" containsString="0" containsNumber="1" containsInteger="1" minValue="1" maxValue="2"/>
    </cacheField>
    <cacheField name="SS_Percentage of farmers without alternative livelihood" numFmtId="0">
      <sharedItems containsSemiMixedTypes="0" containsString="0" containsNumber="1" minValue="6" maxValue="68"/>
    </cacheField>
    <cacheField name="SS_Percentage of farmers without alternative livelihood_score" numFmtId="0">
      <sharedItems containsSemiMixedTypes="0" containsString="0" containsNumber="1" containsInteger="1" minValue="1" maxValue="5"/>
    </cacheField>
    <cacheField name="SS_Score" numFmtId="0">
      <sharedItems containsSemiMixedTypes="0" containsString="0" containsNumber="1" minValue="2.6666666666666665" maxValue="3.8333333333333335"/>
    </cacheField>
    <cacheField name="Summary of Findings (Sensitivity)" numFmtId="0">
      <sharedItems containsNonDate="0" containsString="0" containsBlank="1"/>
    </cacheField>
    <cacheField name="Degree of Impact" numFmtId="0">
      <sharedItems containsSemiMixedTypes="0" containsString="0" containsNumber="1" minValue="2" maxValue="4.25"/>
    </cacheField>
    <cacheField name="Category" numFmtId="0">
      <sharedItems/>
    </cacheField>
    <cacheField name="AC_Wealth" numFmtId="0">
      <sharedItems/>
    </cacheField>
    <cacheField name="AC_Wealth_score" numFmtId="0">
      <sharedItems containsSemiMixedTypes="0" containsString="0" containsNumber="1" containsInteger="1" minValue="3" maxValue="4"/>
    </cacheField>
    <cacheField name="AC_Technology" numFmtId="0">
      <sharedItems/>
    </cacheField>
    <cacheField name="AC_Technology_score" numFmtId="0">
      <sharedItems containsString="0" containsBlank="1" containsNumber="1" containsInteger="1" minValue="2" maxValue="4"/>
    </cacheField>
    <cacheField name="AC_Infrastructure" numFmtId="0">
      <sharedItems/>
    </cacheField>
    <cacheField name="AC_Infrastructure_score" numFmtId="0">
      <sharedItems containsSemiMixedTypes="0" containsString="0" containsNumber="1" containsInteger="1" minValue="3" maxValue="3"/>
    </cacheField>
    <cacheField name="AC_nformation" numFmtId="0">
      <sharedItems/>
    </cacheField>
    <cacheField name="AC_nformation_score" numFmtId="0">
      <sharedItems containsSemiMixedTypes="0" containsString="0" containsNumber="1" containsInteger="1" minValue="3" maxValue="4"/>
    </cacheField>
    <cacheField name="AC_Institutional/Government Investments" numFmtId="0">
      <sharedItems/>
    </cacheField>
    <cacheField name="AC_Institutional/Government Investments_score" numFmtId="0">
      <sharedItems containsSemiMixedTypes="0" containsString="0" containsNumber="1" containsInteger="1" minValue="3" maxValue="3"/>
    </cacheField>
    <cacheField name="AC_Social" numFmtId="0">
      <sharedItems/>
    </cacheField>
    <cacheField name="AC_Social_score" numFmtId="0">
      <sharedItems containsSemiMixedTypes="0" containsString="0" containsNumber="1" containsInteger="1" minValue="3" maxValue="3"/>
    </cacheField>
    <cacheField name="AC_score" numFmtId="0">
      <sharedItems containsSemiMixedTypes="0" containsString="0" containsNumber="1" minValue="2.6666666666666665" maxValue="3.3333333333333335"/>
    </cacheField>
    <cacheField name="Summary of Findings (Adaptive Capacity)" numFmtId="0">
      <sharedItems containsNonDate="0" containsString="0" containsBlank="1"/>
    </cacheField>
    <cacheField name="Vulnerability Score" numFmtId="0">
      <sharedItems containsSemiMixedTypes="0" containsString="0" containsNumber="1" minValue="0.66666666666666663" maxValue="1.4166666666666667"/>
    </cacheField>
    <cacheField name="Vulnerabilty Category" numFmtId="0">
      <sharedItems/>
    </cacheField>
    <cacheField name="Severity of Consequence Score" numFmtId="0">
      <sharedItems containsSemiMixedTypes="0" containsString="0" containsNumber="1" minValue="0.66471176577559565" maxValue="4"/>
    </cacheField>
    <cacheField name="Risk Score" numFmtId="0">
      <sharedItems containsSemiMixedTypes="0" containsString="0" containsNumber="1" minValue="2.6588470631023826" maxValue="16"/>
    </cacheField>
    <cacheField name="Risk Catego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Economic"/>
    <s v="Agriculture"/>
    <s v="Drought"/>
    <n v="4"/>
    <s v="High"/>
    <x v="0"/>
    <s v="Ambago "/>
    <n v="30"/>
    <n v="354.8775"/>
    <s v="Goat"/>
    <n v="750000"/>
    <n v="338.19877000000002"/>
    <n v="0.95300144416030896"/>
    <n v="5"/>
    <m/>
    <n v="0.30831226295828068"/>
    <n v="3"/>
    <n v="0.44999999999999996"/>
    <n v="4"/>
    <n v="0.24"/>
    <n v="1"/>
    <n v="0.7"/>
    <n v="5"/>
    <n v="0.76296355117922698"/>
    <n v="2"/>
    <n v="6"/>
    <n v="1"/>
    <n v="2.6666666666666665"/>
    <m/>
    <n v="3.833333333333333"/>
    <s v="MEDIUM HIGH"/>
    <s v="Rehab seeds from Department of Agriculture, PCIC, SURE Loan, Sure AID Loan"/>
    <n v="3"/>
    <s v="IEC on Climate Smart Agriculture, research study on flood reselient variety"/>
    <n v="3"/>
    <s v="hand tractor, MPDPs, Manual thresher"/>
    <n v="3"/>
    <s v="Primitive Early Warning System (batingaw,bell, kampana) `IEC materials, signages, social media, text messages, tv, radios_x000a_"/>
    <n v="4"/>
    <s v="Forced evacuation ordinance, contingency plan, DRRMP_x000a_"/>
    <n v="3"/>
    <s v="FAs, IAs, LFTs, Agricultural Technologist"/>
    <n v="3"/>
    <n v="3.1666666666666665"/>
    <m/>
    <n v="1.2105263157894737"/>
    <s v="MEDIUM LOW"/>
    <n v="4"/>
    <n v="16"/>
    <s v="VERY HIGH RISK"/>
  </r>
  <r>
    <s v="Economic"/>
    <s v="Agriculture"/>
    <s v="Drought"/>
    <n v="4"/>
    <s v="High"/>
    <x v="0"/>
    <s v="Ampayon"/>
    <n v="150"/>
    <n v="445.28899999999999"/>
    <s v="Cattle"/>
    <n v="2700000"/>
    <n v="296.142"/>
    <n v="0.66505572785314704"/>
    <n v="5"/>
    <m/>
    <n v="0.61986206896551721"/>
    <n v="5"/>
    <n v="0.30000000000000004"/>
    <n v="3"/>
    <n v="0.38"/>
    <n v="2"/>
    <n v="0.82079054277109897"/>
    <n v="5"/>
    <n v="0.82948798988621997"/>
    <n v="1"/>
    <n v="30"/>
    <n v="2"/>
    <n v="3"/>
    <m/>
    <n v="4"/>
    <s v="MEDIUM HIGH"/>
    <s v="Rehab seeds from Department of Agriculture, PCIC, SURE Loan, Sure AID Loan"/>
    <n v="3"/>
    <s v="IEC on Climate Smart Agriculture, research study on flood reselient variety, Organic Agriculture Technology"/>
    <n v="3"/>
    <s v="4 wheel tractor, hand tractor, rice mills, corn mills, MPDPs, mechanical dryers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16"/>
    <s v="VERY HIGH RISK"/>
  </r>
  <r>
    <s v="Economic"/>
    <s v="Agriculture"/>
    <s v="Drought"/>
    <n v="4"/>
    <s v="Moderate"/>
    <x v="0"/>
    <s v="Baan Km. 3"/>
    <n v="210"/>
    <n v="831.52300000000002"/>
    <s v="Broilers_x000a_Fighting Cocks"/>
    <n v="3150000"/>
    <n v="435.88150000000002"/>
    <n v="0.52419656461697395"/>
    <n v="5"/>
    <m/>
    <n v="0.48387755102040814"/>
    <n v="4"/>
    <n v="0.19999999999999996"/>
    <n v="3"/>
    <n v="0.19999999999999996"/>
    <n v="1"/>
    <n v="0.89"/>
    <n v="5"/>
    <n v="0.73424584481379407"/>
    <n v="2"/>
    <n v="10.5"/>
    <n v="1"/>
    <n v="2.6666666666666665"/>
    <m/>
    <n v="3.833333333333333"/>
    <s v="MEDIUM HIGH"/>
    <s v="Rehab seeds from Department of Agriculture, PCIC, SURE Loan, Sure AID Loan"/>
    <n v="3"/>
    <s v="IEC on Climate Smart Agriculture, research study on flood reselient varietyOrganic Agriculture Technology"/>
    <n v="3"/>
    <s v="floating tiller, hand tractor, MPDP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777777777777777"/>
    <s v="MEDIUM LOW"/>
    <n v="3"/>
    <n v="12"/>
    <s v="HIGH RISK"/>
  </r>
  <r>
    <s v="Economic"/>
    <s v="Agriculture"/>
    <s v="Drought"/>
    <n v="4"/>
    <s v="Slight"/>
    <x v="1"/>
    <s v="Bancasi"/>
    <n v="400"/>
    <n v="761.83199999999999"/>
    <s v="Cattle"/>
    <n v="1908000"/>
    <n v="333.4572"/>
    <n v="0.43770437576788584"/>
    <n v="4"/>
    <m/>
    <n v="0.53782851075126092"/>
    <n v="5"/>
    <n v="0.44999999999999996"/>
    <n v="4"/>
    <n v="0.32999999999999996"/>
    <n v="2"/>
    <n v="0.87"/>
    <n v="5"/>
    <n v="0.89571428571428602"/>
    <n v="1"/>
    <n v="20"/>
    <n v="2"/>
    <n v="3.1666666666666665"/>
    <m/>
    <n v="3.583333333333333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944444444444444"/>
    <s v="MEDIUM LOW"/>
    <n v="3"/>
    <n v="12"/>
    <s v="HIGH RISK"/>
  </r>
  <r>
    <s v="Economic"/>
    <s v="Agriculture"/>
    <s v="Drought"/>
    <n v="4"/>
    <s v="Slight"/>
    <x v="0"/>
    <s v="Basag"/>
    <n v="496"/>
    <n v="802.99800000000005"/>
    <s v="Hogs"/>
    <n v="610000"/>
    <n v="420.012"/>
    <n v="0.52305485194234602"/>
    <n v="5"/>
    <m/>
    <n v="0.38272744048717477"/>
    <n v="3"/>
    <n v="0.44999999999999996"/>
    <n v="4"/>
    <n v="0.30000000000000004"/>
    <n v="2"/>
    <n v="0.79732203567132198"/>
    <n v="5"/>
    <n v="0.95566764003185556"/>
    <n v="1"/>
    <n v="49.6"/>
    <n v="3"/>
    <n v="3"/>
    <m/>
    <n v="4"/>
    <s v="MEDIUM HIGH"/>
    <s v="Rehab seeds from Department of Agriculture, PCIC, SURE Loan, Sure AID Loan"/>
    <n v="3"/>
    <s v="IEC on Climate Smart Agriculture, research study on flood reselient variety"/>
    <n v="3"/>
    <s v="hand tarctor, rice mill, MPDPs, manual thresher, mechanical thresher, corn sheller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3"/>
    <n v="12"/>
    <s v="HIGH RISK"/>
  </r>
  <r>
    <s v="Economic"/>
    <s v="Agriculture"/>
    <s v="Drought"/>
    <n v="4"/>
    <s v="Severe"/>
    <x v="1"/>
    <s v="Bit-os"/>
    <n v="89"/>
    <n v="699.63199999999995"/>
    <s v="chicken"/>
    <n v="6000000"/>
    <n v="110.88440000000001"/>
    <n v="0.15848960596427838"/>
    <n v="2"/>
    <m/>
    <n v="0.51080380293863437"/>
    <n v="4"/>
    <n v="0.44999999999999996"/>
    <n v="4"/>
    <n v="0.25"/>
    <n v="1"/>
    <n v="0.64"/>
    <n v="5"/>
    <n v="0.95365079365079375"/>
    <n v="1"/>
    <n v="17.8"/>
    <n v="2"/>
    <n v="2.8333333333333335"/>
    <m/>
    <n v="2.416666666666667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0555555555555569"/>
    <s v="LOW"/>
    <n v="4"/>
    <n v="16"/>
    <s v="VERY HIGH RISK"/>
  </r>
  <r>
    <s v="Economic"/>
    <s v="Agriculture"/>
    <s v="Drought"/>
    <n v="4"/>
    <s v="Slight"/>
    <x v="1"/>
    <s v="Bitan-agan"/>
    <n v="280"/>
    <n v="604.86969999999997"/>
    <s v="Hogs"/>
    <n v="775000"/>
    <n v="154.2884"/>
    <n v="0.25507708519702676"/>
    <n v="3"/>
    <m/>
    <n v="0.66531932093775259"/>
    <n v="5"/>
    <n v="0.44999999999999996"/>
    <n v="4"/>
    <n v="0.35"/>
    <n v="2"/>
    <n v="0.42"/>
    <n v="4"/>
    <n v="1"/>
    <n v="1"/>
    <n v="56"/>
    <n v="4"/>
    <n v="3.3333333333333335"/>
    <m/>
    <n v="3.166666666666667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, floating ti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555555555555556"/>
    <s v="MEDIUM LOW"/>
    <n v="2"/>
    <n v="8"/>
    <s v="MODERATE RISK"/>
  </r>
  <r>
    <s v="Economic"/>
    <s v="Agriculture"/>
    <s v="Drought"/>
    <n v="4"/>
    <s v="Moderate"/>
    <x v="0"/>
    <s v="Cabcabon"/>
    <n v="300"/>
    <n v="690.81399999999996"/>
    <s v="Layers_x000a__x000a_Hogs"/>
    <n v="8000000"/>
    <n v="545.81189999999992"/>
    <n v="0.79009965055716869"/>
    <n v="5"/>
    <m/>
    <n v="0.57031554343591739"/>
    <n v="4"/>
    <n v="0.44999999999999996"/>
    <n v="4"/>
    <n v="0.33999999999999997"/>
    <n v="2"/>
    <n v="0.53"/>
    <n v="5"/>
    <n v="0.90708729472774419"/>
    <n v="1"/>
    <n v="30"/>
    <n v="3"/>
    <n v="3.1666666666666665"/>
    <m/>
    <n v="4.083333333333333"/>
    <s v="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MPDPs, manu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611111111111109"/>
    <s v="MEDIUM LOW"/>
    <n v="3"/>
    <n v="12"/>
    <s v="HIGH RISK"/>
  </r>
  <r>
    <s v="Economic"/>
    <s v="Agriculture"/>
    <s v="Drought"/>
    <n v="4"/>
    <s v="Slight"/>
    <x v="1"/>
    <s v="Don Francisco"/>
    <n v="95"/>
    <n v="151.44800000000001"/>
    <s v="Hogs"/>
    <n v="130000"/>
    <n v="6.979133"/>
    <n v="4.6082701653372769E-2"/>
    <n v="1"/>
    <m/>
    <n v="0.47914614121510674"/>
    <n v="4"/>
    <n v="0.44999999999999996"/>
    <n v="4"/>
    <n v="0.44999999999999996"/>
    <n v="3"/>
    <n v="0.43"/>
    <n v="4"/>
    <n v="1"/>
    <n v="1"/>
    <n v="19"/>
    <n v="2"/>
    <n v="3"/>
    <m/>
    <n v="2"/>
    <s v="MEDIUM LOW"/>
    <s v="PCIC"/>
    <n v="4"/>
    <s v="IEC, Organic Agriculture Technology"/>
    <n v="2"/>
    <s v="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6666666666666663"/>
    <s v="LOW"/>
    <n v="3"/>
    <n v="12"/>
    <s v="HIGH RISK"/>
  </r>
  <r>
    <s v="Economic"/>
    <s v="Agriculture"/>
    <s v="Drought"/>
    <n v="4"/>
    <s v="Slight"/>
    <x v="1"/>
    <s v="Florida"/>
    <n v="500"/>
    <n v="1995.4369999999999"/>
    <s v="Hogs"/>
    <n v="350000"/>
    <n v="367.03409999999997"/>
    <n v="0.18393670158466541"/>
    <n v="3"/>
    <m/>
    <n v="0.53847703464947627"/>
    <n v="5"/>
    <n v="0.44999999999999996"/>
    <n v="4"/>
    <n v="0.41000000000000003"/>
    <n v="3"/>
    <n v="0.45"/>
    <n v="4"/>
    <n v="1"/>
    <n v="1"/>
    <n v="50"/>
    <n v="5"/>
    <n v="3.6666666666666665"/>
    <m/>
    <n v="3.333333333333333"/>
    <s v="MEDIUM HIGH"/>
    <s v="PCIC"/>
    <n v="4"/>
    <s v="IEC, research study on salinity reselient variety"/>
    <n v="4"/>
    <s v="hand tractor, rice mills, corn mills, MPDP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99999999999999989"/>
    <s v="LOW"/>
    <n v="0.76923851732473802"/>
    <n v="3.0769540692989521"/>
    <s v="LOW RISK"/>
  </r>
  <r>
    <s v="Economic"/>
    <s v="Agriculture"/>
    <s v="Drought"/>
    <n v="4"/>
    <s v="Severe"/>
    <x v="0"/>
    <s v="Kinamlutan"/>
    <n v="360"/>
    <n v="696.03599999999994"/>
    <s v="Gamefowl"/>
    <n v="2700000"/>
    <n v="106.64344000000001"/>
    <n v="0.15321540839841621"/>
    <n v="2"/>
    <m/>
    <n v="0.44053464266230224"/>
    <n v="4"/>
    <n v="0.44999999999999996"/>
    <n v="4"/>
    <n v="0.36"/>
    <n v="2"/>
    <n v="0.6"/>
    <n v="5"/>
    <n v="1"/>
    <n v="1"/>
    <n v="36"/>
    <n v="4"/>
    <n v="3.3333333333333335"/>
    <m/>
    <n v="2.666666666666667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8888888888888895"/>
    <s v="LOW"/>
    <n v="0.66471176577559565"/>
    <n v="2.6588470631023826"/>
    <s v="LOW RISK"/>
  </r>
  <r>
    <s v="Economic"/>
    <s v="Agriculture"/>
    <s v="Drought"/>
    <n v="4"/>
    <s v="Slight"/>
    <x v="1"/>
    <s v="Mla.de Bugabus"/>
    <n v="697"/>
    <n v="174.066"/>
    <s v="Layers_x000a__x000a_Hogs"/>
    <n v="3800000"/>
    <n v="61.24286"/>
    <n v="0.35183700435467008"/>
    <n v="4"/>
    <m/>
    <n v="0.61360832011281496"/>
    <n v="5"/>
    <n v="0.55000000000000004"/>
    <n v="5"/>
    <n v="0.4"/>
    <n v="3"/>
    <n v="0.24166695391403292"/>
    <n v="2"/>
    <n v="1"/>
    <n v="1"/>
    <n v="34.85"/>
    <n v="4"/>
    <n v="3.3333333333333335"/>
    <m/>
    <n v="3.666666666666667"/>
    <s v="MEDIUM HIGH"/>
    <s v="PCIC"/>
    <n v="4"/>
    <s v="IEC, research study on salinity reselient variety"/>
    <n v="4"/>
    <s v=" rice mills, corn mills, MPDPs, mechanical dry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1000000000000001"/>
    <s v="MEDIUM LOW"/>
    <n v="0.85680416005640758"/>
    <n v="3.4272166402256303"/>
    <s v="LOW RISK"/>
  </r>
  <r>
    <s v="Economic"/>
    <s v="Agriculture"/>
    <s v="Drought"/>
    <n v="4"/>
    <s v="Slight"/>
    <x v="0"/>
    <s v="Lemon"/>
    <n v="220"/>
    <n v="518.54"/>
    <s v="Cattle_x000a__x000a_Goat"/>
    <n v="832500"/>
    <n v="135.79599999999999"/>
    <n v="0.26188143634049449"/>
    <n v="3"/>
    <m/>
    <n v="0.39795918367346939"/>
    <n v="4"/>
    <n v="0.44999999999999996"/>
    <n v="4"/>
    <n v="0.21999999999999997"/>
    <n v="1"/>
    <n v="0.539186947969298"/>
    <n v="5"/>
    <n v="0.89473684210526305"/>
    <n v="1"/>
    <n v="33"/>
    <n v="4"/>
    <n v="3.1666666666666665"/>
    <m/>
    <n v="3.083333333333333"/>
    <s v="MEDIUM HIGH"/>
    <s v="Rehab seeds from Department of Agriculture, PCIC, SURE Loan, Sure AID Loan"/>
    <n v="3"/>
    <s v="IEC on Climate Smart Agriculture, research study on flood reselient variety"/>
    <n v="3"/>
    <s v="four wheel drive tractor, 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277777777777777"/>
    <s v="MEDIUM LOW"/>
    <n v="4"/>
    <n v="16"/>
    <s v="VERY HIGH RISK"/>
  </r>
  <r>
    <s v="Economic"/>
    <s v="Agriculture"/>
    <s v="Drought"/>
    <n v="4"/>
    <s v="Severe"/>
    <x v="0"/>
    <s v="Libertad "/>
    <n v="1150"/>
    <n v="390.36799999999999"/>
    <s v="Cattle_x000a__x000a_Gamefowl"/>
    <n v="1509000"/>
    <n v="248.90893"/>
    <n v="0.63762636793999505"/>
    <n v="5"/>
    <m/>
    <n v="0.13721404093729739"/>
    <n v="2"/>
    <n v="0.44999999999999996"/>
    <n v="4"/>
    <n v="0.19999999999999996"/>
    <n v="1"/>
    <n v="0.68"/>
    <n v="5"/>
    <n v="0.73256460127813305"/>
    <n v="2"/>
    <n v="46"/>
    <n v="4"/>
    <n v="3"/>
    <m/>
    <n v="4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16"/>
    <s v="VERY HIGH RISK"/>
  </r>
  <r>
    <s v="Economic"/>
    <s v="Agriculture"/>
    <s v="Drought"/>
    <n v="4"/>
    <s v="Slight"/>
    <x v="0"/>
    <s v="Los Angeles"/>
    <n v="830"/>
    <n v="1513.2539999999999"/>
    <s v="Layer_x000a__x000a_Ducks"/>
    <n v="3400000"/>
    <n v="390.09899999999999"/>
    <n v="0.25778818360962535"/>
    <n v="3"/>
    <m/>
    <n v="0.53052995391705071"/>
    <n v="5"/>
    <n v="0.44999999999999996"/>
    <n v="4"/>
    <n v="0.20599999999999996"/>
    <n v="2"/>
    <n v="0.57999999999999996"/>
    <n v="5"/>
    <n v="1"/>
    <n v="1"/>
    <n v="41.5"/>
    <n v="4"/>
    <n v="3.5"/>
    <m/>
    <n v="3.25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833333333333333"/>
    <s v="MEDIUM LOW"/>
    <n v="4"/>
    <n v="16"/>
    <s v="VERY HIGH RISK"/>
  </r>
  <r>
    <s v="Economic"/>
    <s v="Agriculture"/>
    <s v="Drought"/>
    <n v="4"/>
    <s v="Slight"/>
    <x v="0"/>
    <s v="Pigdaulan"/>
    <n v="245"/>
    <n v="771.8309999999999"/>
    <s v="Hogs_x000a__x000a_Layer"/>
    <n v="325000"/>
    <n v="246.10230799999999"/>
    <n v="0.31885517425446763"/>
    <n v="4"/>
    <m/>
    <n v="0.56637519872813991"/>
    <n v="5"/>
    <n v="0.55000000000000004"/>
    <n v="5"/>
    <n v="0.23499999999999999"/>
    <n v="2"/>
    <n v="0.56000000000000005"/>
    <n v="5"/>
    <n v="0.92"/>
    <n v="1"/>
    <n v="49"/>
    <n v="4"/>
    <n v="3.6666666666666665"/>
    <m/>
    <n v="3.833333333333333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ractor, hand tractor, rice mills, corn mills, MPDPs, mechanical dryer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777777777777777"/>
    <s v="MEDIUM LOW"/>
    <n v="4"/>
    <n v="16"/>
    <s v="VERY HIGH RISK"/>
  </r>
  <r>
    <s v="Economic"/>
    <s v="Agriculture"/>
    <s v="Drought"/>
    <n v="4"/>
    <s v="Severe"/>
    <x v="0"/>
    <s v="San Vicente"/>
    <n v="620"/>
    <n v="276.44799999999998"/>
    <s v="Layer"/>
    <n v="15000000"/>
    <n v="138.4539"/>
    <n v="0.50083162113670565"/>
    <n v="5"/>
    <m/>
    <n v="0.23196324351173475"/>
    <n v="3"/>
    <n v="0.55000000000000004"/>
    <n v="5"/>
    <n v="0.19799999999999995"/>
    <n v="1"/>
    <n v="0.72"/>
    <n v="5"/>
    <n v="0.78871228113746406"/>
    <n v="2"/>
    <n v="31"/>
    <n v="2"/>
    <n v="3"/>
    <m/>
    <n v="4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16"/>
    <s v="VERY HIGH RISK"/>
  </r>
  <r>
    <s v="Economic"/>
    <s v="Agriculture"/>
    <s v="Drought"/>
    <n v="4"/>
    <s v="Slight"/>
    <x v="1"/>
    <s v="Sumile"/>
    <n v="352"/>
    <n v="93.6173"/>
    <s v="Carabao_x000a_Cattle_x000a_Goat_x000a_Hogs_x000a_Broiler"/>
    <n v="2819000"/>
    <n v="15.747800000000002"/>
    <n v="0.16821463554278965"/>
    <n v="3"/>
    <m/>
    <n v="0.87915262397688976"/>
    <n v="5"/>
    <n v="0.55000000000000004"/>
    <n v="5"/>
    <n v="0.42700000000000005"/>
    <n v="3"/>
    <n v="0.4"/>
    <n v="4"/>
    <n v="1"/>
    <n v="1"/>
    <n v="52.8"/>
    <n v="5"/>
    <n v="3.8333333333333335"/>
    <m/>
    <n v="3.416666666666667"/>
    <s v="MEDIUM HIGH"/>
    <s v="PCIC"/>
    <n v="4"/>
    <s v="IEC on Climate Smart Agriculture, Organic Agriculture Technology"/>
    <m/>
    <s v="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2812500000000002"/>
    <s v="MEDIUM LOW"/>
    <n v="3"/>
    <n v="12"/>
    <s v="HIGH RISK"/>
  </r>
  <r>
    <s v="Economic"/>
    <s v="Agriculture"/>
    <s v="Drought"/>
    <n v="4"/>
    <s v="Slight"/>
    <x v="0"/>
    <s v="Sumilihon"/>
    <n v="700"/>
    <n v="783.81659999999999"/>
    <s v="Layer_x000a__x000a_Hogs"/>
    <n v="6500000"/>
    <n v="639.79899999999998"/>
    <n v="0.81626109985422612"/>
    <n v="5"/>
    <m/>
    <n v="0.53847703464947627"/>
    <n v="5"/>
    <n v="0.55000000000000004"/>
    <n v="5"/>
    <n v="0.34299999999999997"/>
    <n v="2"/>
    <n v="0.44"/>
    <n v="4"/>
    <n v="1"/>
    <n v="1"/>
    <n v="49.000000000000007"/>
    <n v="4"/>
    <n v="3.5"/>
    <m/>
    <n v="4.25"/>
    <s v="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 MPDPs, 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166666666666667"/>
    <s v="MEDIUM LOW"/>
    <n v="4"/>
    <n v="16"/>
    <s v="VERY HIGH RISK"/>
  </r>
  <r>
    <s v="Economic"/>
    <s v="Agriculture"/>
    <s v="Drought"/>
    <n v="4"/>
    <s v="Slight"/>
    <x v="0"/>
    <s v="Tiniwisan"/>
    <n v="350"/>
    <n v="511.495"/>
    <s v="Layers"/>
    <n v="26500000"/>
    <n v="329.82569999999998"/>
    <n v="0.6448268311518196"/>
    <n v="5"/>
    <m/>
    <n v="0.44053464266230224"/>
    <n v="4"/>
    <n v="0.55000000000000004"/>
    <n v="5"/>
    <n v="0.23499999999999999"/>
    <n v="2"/>
    <n v="0.67"/>
    <n v="5"/>
    <n v="0.86061102018548796"/>
    <n v="1"/>
    <n v="21"/>
    <n v="2"/>
    <n v="3.1666666666666665"/>
    <m/>
    <n v="4.083333333333333"/>
    <s v="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ar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611111111111109"/>
    <s v="MEDIUM LOW"/>
    <n v="4"/>
    <n v="16"/>
    <s v="VERY HIGH RISK"/>
  </r>
  <r>
    <s v="Economic"/>
    <s v="Agriculture"/>
    <s v="Drought"/>
    <n v="4"/>
    <s v="Slight"/>
    <x v="1"/>
    <s v="Tungao"/>
    <n v="680"/>
    <n v="1021.4001000000001"/>
    <s v="Sow_x000a_Piglet_x000a_Boar_x000a_Fattening"/>
    <n v="970000"/>
    <n v="102.23089999999999"/>
    <n v="0.10008898569718172"/>
    <n v="2"/>
    <m/>
    <n v="0.61360832011281508"/>
    <n v="5"/>
    <n v="0.55000000000000004"/>
    <n v="5"/>
    <n v="0.39"/>
    <n v="3"/>
    <n v="0.46"/>
    <n v="4"/>
    <n v="1"/>
    <n v="1"/>
    <n v="68"/>
    <n v="5"/>
    <n v="3.8333333333333335"/>
    <m/>
    <n v="2.916666666666667"/>
    <s v="MEDIUM"/>
    <s v="PCIC"/>
    <n v="4"/>
    <s v="IEC, Organic Agriculture Technology_x000a_"/>
    <n v="2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7222222222222232"/>
    <s v="LOW"/>
    <n v="2"/>
    <n v="8"/>
    <s v="MODERATE RIS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6" firstHeaderRow="0" firstDataRow="1" firstDataCol="1"/>
  <pivotFields count="50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Vulnerability Score" fld="45" subtotal="average" baseField="5" baseItem="0"/>
    <dataField name="Average of Risk Score" fld="48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topLeftCell="A24" zoomScale="60" zoomScaleNormal="60" workbookViewId="0">
      <selection activeCell="AU6" sqref="AU6:AW26"/>
    </sheetView>
  </sheetViews>
  <sheetFormatPr defaultColWidth="9.140625" defaultRowHeight="14.25"/>
  <cols>
    <col min="1" max="1" width="10.7109375" style="2" customWidth="1"/>
    <col min="2" max="2" width="14.7109375" style="2" customWidth="1"/>
    <col min="3" max="4" width="12.7109375" style="2" customWidth="1"/>
    <col min="5" max="6" width="20.7109375" style="2" customWidth="1"/>
    <col min="7" max="7" width="18.5703125" style="2" hidden="1" customWidth="1"/>
    <col min="8" max="8" width="12.7109375" style="2" hidden="1" customWidth="1"/>
    <col min="9" max="9" width="14.7109375" style="3" hidden="1" customWidth="1"/>
    <col min="10" max="10" width="21.7109375" style="4" hidden="1" customWidth="1"/>
    <col min="11" max="11" width="12.7109375" style="2" hidden="1" customWidth="1"/>
    <col min="12" max="12" width="12.7109375" style="5" hidden="1" customWidth="1"/>
    <col min="13" max="13" width="12.7109375" style="2" hidden="1" customWidth="1"/>
    <col min="14" max="14" width="20.7109375" style="2" hidden="1" customWidth="1"/>
    <col min="15" max="24" width="12.7109375" style="2" hidden="1" customWidth="1"/>
    <col min="25" max="25" width="18.5703125" style="2" hidden="1" customWidth="1"/>
    <col min="26" max="27" width="12.7109375" style="2" hidden="1" customWidth="1"/>
    <col min="28" max="28" width="20.7109375" style="2" hidden="1" customWidth="1"/>
    <col min="29" max="34" width="12.7109375" style="2" hidden="1" customWidth="1"/>
    <col min="35" max="35" width="13.28515625" style="2" hidden="1" customWidth="1"/>
    <col min="36" max="36" width="12.7109375" style="2" hidden="1" customWidth="1"/>
    <col min="37" max="37" width="17.28515625" style="2" hidden="1" customWidth="1"/>
    <col min="38" max="41" width="12.7109375" style="2" hidden="1" customWidth="1"/>
    <col min="42" max="42" width="20.7109375" style="2" hidden="1" customWidth="1"/>
    <col min="43" max="43" width="16" style="2" hidden="1" customWidth="1"/>
    <col min="44" max="45" width="12.7109375" style="2" hidden="1" customWidth="1"/>
    <col min="46" max="46" width="19.140625" style="2" hidden="1" customWidth="1"/>
    <col min="47" max="47" width="12.7109375" style="2" customWidth="1"/>
    <col min="48" max="48" width="9.140625" style="2"/>
    <col min="49" max="49" width="23.140625" style="2" customWidth="1"/>
    <col min="50" max="16384" width="9.140625" style="2"/>
  </cols>
  <sheetData>
    <row r="1" spans="1:49" ht="15">
      <c r="A1" s="1" t="s">
        <v>0</v>
      </c>
    </row>
    <row r="2" spans="1:49" ht="15.75" thickBot="1"/>
    <row r="3" spans="1:49" ht="21.75" customHeight="1">
      <c r="A3" s="101" t="s">
        <v>1</v>
      </c>
      <c r="B3" s="103" t="s">
        <v>2</v>
      </c>
      <c r="C3" s="103"/>
      <c r="D3" s="103"/>
      <c r="E3" s="104" t="s">
        <v>3</v>
      </c>
      <c r="F3" s="104"/>
      <c r="G3" s="104"/>
      <c r="H3" s="104"/>
      <c r="I3" s="104"/>
      <c r="J3" s="104"/>
      <c r="K3" s="104"/>
      <c r="L3" s="104"/>
      <c r="M3" s="104"/>
      <c r="N3" s="104" t="s">
        <v>4</v>
      </c>
      <c r="O3" s="100" t="s">
        <v>5</v>
      </c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 t="s">
        <v>6</v>
      </c>
      <c r="AC3" s="90" t="s">
        <v>7</v>
      </c>
      <c r="AD3" s="90"/>
      <c r="AE3" s="92" t="s">
        <v>8</v>
      </c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4"/>
      <c r="AR3" s="95" t="s">
        <v>9</v>
      </c>
      <c r="AS3" s="97" t="s">
        <v>10</v>
      </c>
      <c r="AT3" s="97" t="s">
        <v>11</v>
      </c>
      <c r="AU3" s="97" t="s">
        <v>12</v>
      </c>
      <c r="AV3" s="83" t="s">
        <v>13</v>
      </c>
      <c r="AW3" s="85" t="s">
        <v>14</v>
      </c>
    </row>
    <row r="4" spans="1:49" ht="93" customHeight="1">
      <c r="A4" s="102"/>
      <c r="B4" s="6" t="s">
        <v>15</v>
      </c>
      <c r="C4" s="6" t="s">
        <v>16</v>
      </c>
      <c r="D4" s="6" t="s">
        <v>17</v>
      </c>
      <c r="E4" s="7" t="s">
        <v>18</v>
      </c>
      <c r="F4" s="8" t="s">
        <v>19</v>
      </c>
      <c r="G4" s="7" t="s">
        <v>20</v>
      </c>
      <c r="H4" s="7" t="s">
        <v>21</v>
      </c>
      <c r="I4" s="7" t="s">
        <v>22</v>
      </c>
      <c r="J4" s="9" t="s">
        <v>23</v>
      </c>
      <c r="K4" s="7" t="s">
        <v>24</v>
      </c>
      <c r="L4" s="10" t="s">
        <v>25</v>
      </c>
      <c r="M4" s="7" t="s">
        <v>26</v>
      </c>
      <c r="N4" s="105"/>
      <c r="O4" s="87" t="s">
        <v>27</v>
      </c>
      <c r="P4" s="87"/>
      <c r="Q4" s="87" t="s">
        <v>28</v>
      </c>
      <c r="R4" s="87"/>
      <c r="S4" s="87" t="s">
        <v>29</v>
      </c>
      <c r="T4" s="87"/>
      <c r="U4" s="87" t="s">
        <v>30</v>
      </c>
      <c r="V4" s="87"/>
      <c r="W4" s="87" t="s">
        <v>31</v>
      </c>
      <c r="X4" s="87"/>
      <c r="Y4" s="88" t="s">
        <v>32</v>
      </c>
      <c r="Z4" s="89"/>
      <c r="AA4" s="11" t="s">
        <v>33</v>
      </c>
      <c r="AB4" s="87"/>
      <c r="AC4" s="91"/>
      <c r="AD4" s="91"/>
      <c r="AE4" s="12" t="s">
        <v>34</v>
      </c>
      <c r="AF4" s="12"/>
      <c r="AG4" s="12" t="s">
        <v>35</v>
      </c>
      <c r="AH4" s="12"/>
      <c r="AI4" s="12" t="s">
        <v>36</v>
      </c>
      <c r="AJ4" s="12"/>
      <c r="AK4" s="12" t="s">
        <v>37</v>
      </c>
      <c r="AL4" s="12"/>
      <c r="AM4" s="12" t="s">
        <v>38</v>
      </c>
      <c r="AN4" s="12"/>
      <c r="AO4" s="12" t="s">
        <v>39</v>
      </c>
      <c r="AP4" s="12"/>
      <c r="AQ4" s="12" t="s">
        <v>40</v>
      </c>
      <c r="AR4" s="96"/>
      <c r="AS4" s="98"/>
      <c r="AT4" s="99"/>
      <c r="AU4" s="98"/>
      <c r="AV4" s="84"/>
      <c r="AW4" s="86"/>
    </row>
    <row r="5" spans="1:49" ht="120.75" customHeight="1">
      <c r="A5" s="13" t="s">
        <v>41</v>
      </c>
      <c r="B5" s="14"/>
      <c r="C5" s="14" t="s">
        <v>42</v>
      </c>
      <c r="D5" s="14" t="s">
        <v>43</v>
      </c>
      <c r="E5" s="14"/>
      <c r="F5" s="15"/>
      <c r="G5" s="14" t="s">
        <v>44</v>
      </c>
      <c r="H5" s="14" t="s">
        <v>45</v>
      </c>
      <c r="I5" s="14" t="s">
        <v>46</v>
      </c>
      <c r="J5" s="16"/>
      <c r="K5" s="14" t="s">
        <v>47</v>
      </c>
      <c r="L5" s="17" t="s">
        <v>48</v>
      </c>
      <c r="M5" s="14"/>
      <c r="N5" s="14"/>
      <c r="O5" s="14" t="s">
        <v>49</v>
      </c>
      <c r="P5" s="14" t="s">
        <v>50</v>
      </c>
      <c r="Q5" s="14" t="s">
        <v>49</v>
      </c>
      <c r="R5" s="14" t="s">
        <v>50</v>
      </c>
      <c r="S5" s="14" t="s">
        <v>49</v>
      </c>
      <c r="T5" s="14" t="s">
        <v>50</v>
      </c>
      <c r="U5" s="14" t="s">
        <v>49</v>
      </c>
      <c r="V5" s="14" t="s">
        <v>50</v>
      </c>
      <c r="W5" s="14" t="s">
        <v>49</v>
      </c>
      <c r="X5" s="14" t="s">
        <v>50</v>
      </c>
      <c r="Y5" s="14" t="s">
        <v>49</v>
      </c>
      <c r="Z5" s="14" t="s">
        <v>50</v>
      </c>
      <c r="AA5" s="14" t="s">
        <v>51</v>
      </c>
      <c r="AB5" s="14"/>
      <c r="AC5" s="14" t="s">
        <v>52</v>
      </c>
      <c r="AD5" s="14" t="s">
        <v>53</v>
      </c>
      <c r="AE5" s="17" t="s">
        <v>54</v>
      </c>
      <c r="AF5" s="14" t="s">
        <v>55</v>
      </c>
      <c r="AG5" s="17" t="s">
        <v>54</v>
      </c>
      <c r="AH5" s="14" t="s">
        <v>55</v>
      </c>
      <c r="AI5" s="17" t="s">
        <v>54</v>
      </c>
      <c r="AJ5" s="14" t="s">
        <v>56</v>
      </c>
      <c r="AK5" s="17" t="s">
        <v>54</v>
      </c>
      <c r="AL5" s="14" t="s">
        <v>55</v>
      </c>
      <c r="AM5" s="14" t="s">
        <v>54</v>
      </c>
      <c r="AN5" s="14" t="s">
        <v>57</v>
      </c>
      <c r="AO5" s="14" t="s">
        <v>54</v>
      </c>
      <c r="AP5" s="14" t="s">
        <v>57</v>
      </c>
      <c r="AQ5" s="14" t="s">
        <v>58</v>
      </c>
      <c r="AR5" s="14"/>
      <c r="AS5" s="14" t="s">
        <v>59</v>
      </c>
      <c r="AT5" s="14"/>
      <c r="AU5" s="14"/>
      <c r="AV5" s="18" t="s">
        <v>60</v>
      </c>
      <c r="AW5" s="14" t="s">
        <v>61</v>
      </c>
    </row>
    <row r="6" spans="1:49" ht="157.5">
      <c r="A6" s="19"/>
      <c r="B6" s="19" t="s">
        <v>211</v>
      </c>
      <c r="C6" s="19">
        <v>4</v>
      </c>
      <c r="D6" s="19" t="s">
        <v>212</v>
      </c>
      <c r="E6" s="19" t="s">
        <v>62</v>
      </c>
      <c r="F6" s="20" t="s">
        <v>63</v>
      </c>
      <c r="G6" s="19">
        <f>[1]Sheet1!$I$6</f>
        <v>30</v>
      </c>
      <c r="H6" s="19">
        <v>354.8775</v>
      </c>
      <c r="I6" s="21" t="s">
        <v>64</v>
      </c>
      <c r="J6" s="22">
        <v>750000</v>
      </c>
      <c r="K6" s="19">
        <v>338.19877000000002</v>
      </c>
      <c r="L6" s="23">
        <v>0.95300144416030896</v>
      </c>
      <c r="M6" s="19">
        <v>5</v>
      </c>
      <c r="N6" s="19"/>
      <c r="O6" s="23">
        <v>0.30831226295828068</v>
      </c>
      <c r="P6" s="19">
        <v>3</v>
      </c>
      <c r="Q6" s="23">
        <v>0.44999999999999996</v>
      </c>
      <c r="R6" s="19">
        <v>4</v>
      </c>
      <c r="S6" s="24">
        <f>1-76%</f>
        <v>0.24</v>
      </c>
      <c r="T6" s="19">
        <v>1</v>
      </c>
      <c r="U6" s="23">
        <v>0.7</v>
      </c>
      <c r="V6" s="19">
        <v>5</v>
      </c>
      <c r="W6" s="25">
        <f>1-23.7036448820773%</f>
        <v>0.76296355117922698</v>
      </c>
      <c r="X6" s="19">
        <v>2</v>
      </c>
      <c r="Y6" s="26">
        <f>G6*0.2</f>
        <v>6</v>
      </c>
      <c r="Z6" s="19">
        <v>1</v>
      </c>
      <c r="AA6" s="30">
        <f>(R6+T6+V6+X6+P6+Z6)/6</f>
        <v>2.6666666666666665</v>
      </c>
      <c r="AB6" s="19"/>
      <c r="AC6" s="27">
        <f t="shared" ref="AC6:AC26" si="0">(M6+AA6)/2</f>
        <v>3.833333333333333</v>
      </c>
      <c r="AD6" s="19" t="str">
        <f>IF(AC6&lt;=1,"LOW", IF(AC6&lt;=2,"MEDIUM LOW", IF(AC6&lt;=3,"MEDIUM", IF(AC6&lt;=4,"MEDIUM HIGH", "HIGH"))))</f>
        <v>MEDIUM HIGH</v>
      </c>
      <c r="AE6" s="28" t="s">
        <v>65</v>
      </c>
      <c r="AF6" s="29">
        <v>3</v>
      </c>
      <c r="AG6" s="28" t="s">
        <v>66</v>
      </c>
      <c r="AH6" s="19">
        <v>3</v>
      </c>
      <c r="AI6" s="28" t="s">
        <v>67</v>
      </c>
      <c r="AJ6" s="19">
        <v>3</v>
      </c>
      <c r="AK6" s="28" t="s">
        <v>68</v>
      </c>
      <c r="AL6" s="19">
        <v>4</v>
      </c>
      <c r="AM6" s="28" t="s">
        <v>69</v>
      </c>
      <c r="AN6" s="19">
        <v>3</v>
      </c>
      <c r="AO6" s="28" t="s">
        <v>70</v>
      </c>
      <c r="AP6" s="28">
        <v>3</v>
      </c>
      <c r="AQ6" s="30">
        <f>(AF6+AH6+AJ6+AL6+AN6+AP6)/6</f>
        <v>3.1666666666666665</v>
      </c>
      <c r="AR6" s="19"/>
      <c r="AS6" s="27">
        <f>AC6/AQ6</f>
        <v>1.2105263157894737</v>
      </c>
      <c r="AT6" s="27" t="str">
        <f>IF(AS6&lt;=1,"LOW", IF(AS6&lt;=2,"MEDIUM LOW", IF(AS6&lt;=3,"MEDIUM", IF(AS6&lt;=4,"MEDIUM HIGH", "HIGH"))))</f>
        <v>MEDIUM LOW</v>
      </c>
      <c r="AU6" s="31">
        <v>4</v>
      </c>
      <c r="AV6" s="27">
        <f t="shared" ref="AV6:AV26" si="1">AU6*C6</f>
        <v>16</v>
      </c>
      <c r="AW6" s="19" t="str">
        <f>IF(AV6&lt;=4,"LOW RISK", IF(AV6&lt;=8,"MODERATE RISK", IF(AV6&lt;=12,"HIGH RISK","VERY HIGH RISK")))</f>
        <v>VERY HIGH RISK</v>
      </c>
    </row>
    <row r="7" spans="1:49" ht="204.75">
      <c r="A7" s="19"/>
      <c r="B7" s="19" t="s">
        <v>211</v>
      </c>
      <c r="C7" s="19">
        <v>4</v>
      </c>
      <c r="D7" s="19" t="s">
        <v>212</v>
      </c>
      <c r="E7" s="19" t="s">
        <v>62</v>
      </c>
      <c r="F7" s="20" t="s">
        <v>71</v>
      </c>
      <c r="G7" s="19">
        <f>[1]Sheet1!$I$8</f>
        <v>150</v>
      </c>
      <c r="H7" s="19">
        <v>445.28899999999999</v>
      </c>
      <c r="I7" s="21" t="s">
        <v>72</v>
      </c>
      <c r="J7" s="22">
        <v>2700000</v>
      </c>
      <c r="K7" s="19">
        <v>296.142</v>
      </c>
      <c r="L7" s="23">
        <v>0.66505572785314704</v>
      </c>
      <c r="M7" s="19">
        <v>5</v>
      </c>
      <c r="N7" s="19"/>
      <c r="O7" s="23">
        <v>0.61986206896551721</v>
      </c>
      <c r="P7" s="19">
        <v>5</v>
      </c>
      <c r="Q7" s="23">
        <v>0.30000000000000004</v>
      </c>
      <c r="R7" s="19">
        <v>3</v>
      </c>
      <c r="S7" s="23">
        <f>1-62%</f>
        <v>0.38</v>
      </c>
      <c r="T7" s="19">
        <v>2</v>
      </c>
      <c r="U7" s="23">
        <f>1-17.9209457228901%</f>
        <v>0.82079054277109897</v>
      </c>
      <c r="V7" s="19">
        <v>5</v>
      </c>
      <c r="W7" s="25">
        <f>1-17.051201011378%</f>
        <v>0.82948798988621997</v>
      </c>
      <c r="X7" s="19">
        <v>1</v>
      </c>
      <c r="Y7" s="26">
        <f>G7*0.2</f>
        <v>30</v>
      </c>
      <c r="Z7" s="19">
        <v>2</v>
      </c>
      <c r="AA7" s="30">
        <f t="shared" ref="AA7:AA26" si="2">(R7+T7+V7+X7+P7+Z7)/6</f>
        <v>3</v>
      </c>
      <c r="AB7" s="19"/>
      <c r="AC7" s="27">
        <f t="shared" si="0"/>
        <v>4</v>
      </c>
      <c r="AD7" s="19" t="str">
        <f t="shared" ref="AD7:AD8" si="3">IF(AC7&lt;=1,"LOW", IF(AC7&lt;=2,"MEDIUM LOW", IF(AC7&lt;=3,"MEDIUM", IF(AC7&lt;=4,"MEDIUM HIGH", "HIGH"))))</f>
        <v>MEDIUM HIGH</v>
      </c>
      <c r="AE7" s="28" t="s">
        <v>65</v>
      </c>
      <c r="AF7" s="29">
        <v>3</v>
      </c>
      <c r="AG7" s="28" t="s">
        <v>73</v>
      </c>
      <c r="AH7" s="19">
        <v>3</v>
      </c>
      <c r="AI7" s="28" t="s">
        <v>74</v>
      </c>
      <c r="AJ7" s="19">
        <v>3</v>
      </c>
      <c r="AK7" s="28" t="s">
        <v>68</v>
      </c>
      <c r="AL7" s="19">
        <v>3</v>
      </c>
      <c r="AM7" s="28" t="s">
        <v>69</v>
      </c>
      <c r="AN7" s="19">
        <v>3</v>
      </c>
      <c r="AO7" s="28" t="s">
        <v>70</v>
      </c>
      <c r="AP7" s="28">
        <v>3</v>
      </c>
      <c r="AQ7" s="30">
        <f t="shared" ref="AQ7:AQ8" si="4">(AF7+AH7+AJ7+AL7+AN7+AP7)/6</f>
        <v>3</v>
      </c>
      <c r="AR7" s="19"/>
      <c r="AS7" s="27">
        <f t="shared" ref="AS7:AS8" si="5">AC7/AQ7</f>
        <v>1.3333333333333333</v>
      </c>
      <c r="AT7" s="27" t="str">
        <f t="shared" ref="AT7:AT8" si="6">IF(AS7&lt;=1,"LOW", IF(AS7&lt;=2,"MEDIUM LOW", IF(AS7&lt;=3,"MEDIUM", IF(AS7&lt;=4,"MEDIUM HIGH", "HIGH"))))</f>
        <v>MEDIUM LOW</v>
      </c>
      <c r="AU7" s="31">
        <v>4</v>
      </c>
      <c r="AV7" s="27">
        <f t="shared" si="1"/>
        <v>16</v>
      </c>
      <c r="AW7" s="19" t="str">
        <f t="shared" ref="AW7:AW26" si="7">IF(AV7&lt;=4,"LOW RISK", IF(AV7&lt;=8,"MODERATE RISK", IF(AV7&lt;=12,"HIGH RISK","VERY HIGH RISK")))</f>
        <v>VERY HIGH RISK</v>
      </c>
    </row>
    <row r="8" spans="1:49" ht="189">
      <c r="A8" s="19"/>
      <c r="B8" s="19" t="s">
        <v>211</v>
      </c>
      <c r="C8" s="19">
        <v>4</v>
      </c>
      <c r="D8" s="19" t="str">
        <f>'[2]3.1.1 Crop'!D12</f>
        <v>Moderate</v>
      </c>
      <c r="E8" s="19" t="s">
        <v>62</v>
      </c>
      <c r="F8" s="20" t="s">
        <v>75</v>
      </c>
      <c r="G8" s="19">
        <f>[1]Sheet1!$I$12</f>
        <v>210</v>
      </c>
      <c r="H8" s="19">
        <v>831.52300000000002</v>
      </c>
      <c r="I8" s="21" t="s">
        <v>189</v>
      </c>
      <c r="J8" s="22">
        <v>3150000</v>
      </c>
      <c r="K8" s="32">
        <v>435.88150000000002</v>
      </c>
      <c r="L8" s="23">
        <v>0.52419656461697395</v>
      </c>
      <c r="M8" s="19">
        <v>5</v>
      </c>
      <c r="N8" s="19"/>
      <c r="O8" s="23">
        <v>0.48387755102040814</v>
      </c>
      <c r="P8" s="19">
        <v>4</v>
      </c>
      <c r="Q8" s="23">
        <v>0.19999999999999996</v>
      </c>
      <c r="R8" s="19">
        <v>3</v>
      </c>
      <c r="S8" s="24">
        <f>1-80%</f>
        <v>0.19999999999999996</v>
      </c>
      <c r="T8" s="19">
        <v>1</v>
      </c>
      <c r="U8" s="23">
        <v>0.89</v>
      </c>
      <c r="V8" s="19">
        <v>5</v>
      </c>
      <c r="W8" s="25">
        <f>1-26.5754155186206%</f>
        <v>0.73424584481379407</v>
      </c>
      <c r="X8" s="19">
        <v>2</v>
      </c>
      <c r="Y8" s="26">
        <f>G8*0.05</f>
        <v>10.5</v>
      </c>
      <c r="Z8" s="19">
        <v>1</v>
      </c>
      <c r="AA8" s="30">
        <f t="shared" si="2"/>
        <v>2.6666666666666665</v>
      </c>
      <c r="AB8" s="19"/>
      <c r="AC8" s="27">
        <f t="shared" si="0"/>
        <v>3.833333333333333</v>
      </c>
      <c r="AD8" s="19" t="str">
        <f t="shared" si="3"/>
        <v>MEDIUM HIGH</v>
      </c>
      <c r="AE8" s="28" t="s">
        <v>65</v>
      </c>
      <c r="AF8" s="29">
        <v>3</v>
      </c>
      <c r="AG8" s="28" t="s">
        <v>76</v>
      </c>
      <c r="AH8" s="19">
        <v>3</v>
      </c>
      <c r="AI8" s="28" t="s">
        <v>77</v>
      </c>
      <c r="AJ8" s="19">
        <v>3</v>
      </c>
      <c r="AK8" s="28" t="s">
        <v>68</v>
      </c>
      <c r="AL8" s="19">
        <v>3</v>
      </c>
      <c r="AM8" s="28" t="s">
        <v>69</v>
      </c>
      <c r="AN8" s="19">
        <v>3</v>
      </c>
      <c r="AO8" s="28" t="s">
        <v>70</v>
      </c>
      <c r="AP8" s="28">
        <v>3</v>
      </c>
      <c r="AQ8" s="30">
        <f t="shared" si="4"/>
        <v>3</v>
      </c>
      <c r="AR8" s="19"/>
      <c r="AS8" s="27">
        <f t="shared" si="5"/>
        <v>1.2777777777777777</v>
      </c>
      <c r="AT8" s="27" t="str">
        <f t="shared" si="6"/>
        <v>MEDIUM LOW</v>
      </c>
      <c r="AU8" s="31">
        <v>3</v>
      </c>
      <c r="AV8" s="27">
        <f t="shared" si="1"/>
        <v>12</v>
      </c>
      <c r="AW8" s="19" t="str">
        <f t="shared" si="7"/>
        <v>HIGH RISK</v>
      </c>
    </row>
    <row r="9" spans="1:49" ht="157.5">
      <c r="A9" s="19"/>
      <c r="B9" s="19" t="s">
        <v>211</v>
      </c>
      <c r="C9" s="19">
        <v>4</v>
      </c>
      <c r="D9" s="19" t="str">
        <f>'[2]3.1.1 Crop'!D14</f>
        <v>Slight</v>
      </c>
      <c r="E9" s="19" t="s">
        <v>78</v>
      </c>
      <c r="F9" s="20" t="s">
        <v>79</v>
      </c>
      <c r="G9" s="19">
        <f>[1]Sheet1!$I$14</f>
        <v>400</v>
      </c>
      <c r="H9" s="19">
        <v>761.83199999999999</v>
      </c>
      <c r="I9" s="21" t="s">
        <v>72</v>
      </c>
      <c r="J9" s="22">
        <v>1908000</v>
      </c>
      <c r="K9" s="33">
        <v>333.4572</v>
      </c>
      <c r="L9" s="23">
        <v>0.43770437576788584</v>
      </c>
      <c r="M9" s="19">
        <v>4</v>
      </c>
      <c r="N9" s="19"/>
      <c r="O9" s="23">
        <v>0.53782851075126092</v>
      </c>
      <c r="P9" s="19">
        <v>5</v>
      </c>
      <c r="Q9" s="23">
        <v>0.44999999999999996</v>
      </c>
      <c r="R9" s="19">
        <v>4</v>
      </c>
      <c r="S9" s="23">
        <f>1-67%</f>
        <v>0.32999999999999996</v>
      </c>
      <c r="T9" s="19">
        <v>2</v>
      </c>
      <c r="U9" s="23">
        <v>0.87</v>
      </c>
      <c r="V9" s="19">
        <v>5</v>
      </c>
      <c r="W9" s="25">
        <f>1-10.4285714285714%</f>
        <v>0.89571428571428602</v>
      </c>
      <c r="X9" s="19">
        <v>1</v>
      </c>
      <c r="Y9" s="26">
        <f>G9*0.05</f>
        <v>20</v>
      </c>
      <c r="Z9" s="19">
        <v>2</v>
      </c>
      <c r="AA9" s="30">
        <f t="shared" si="2"/>
        <v>3.1666666666666665</v>
      </c>
      <c r="AB9" s="19"/>
      <c r="AC9" s="27">
        <f t="shared" si="0"/>
        <v>3.583333333333333</v>
      </c>
      <c r="AD9" s="19" t="str">
        <f>IF(AC9&lt;=1,"LOW", IF(AC9&lt;=2,"MEDIUM LOW", IF(AC9&lt;=3,"MEDIUM", IF(AC9&lt;=4,"MEDIUM HIGH", "HIGH"))))</f>
        <v>MEDIUM HIGH</v>
      </c>
      <c r="AE9" s="28" t="s">
        <v>65</v>
      </c>
      <c r="AF9" s="29">
        <v>3</v>
      </c>
      <c r="AG9" s="28" t="s">
        <v>66</v>
      </c>
      <c r="AH9" s="19">
        <v>3</v>
      </c>
      <c r="AI9" s="28" t="s">
        <v>80</v>
      </c>
      <c r="AJ9" s="19">
        <v>3</v>
      </c>
      <c r="AK9" s="28" t="s">
        <v>68</v>
      </c>
      <c r="AL9" s="19">
        <v>3</v>
      </c>
      <c r="AM9" s="28" t="s">
        <v>69</v>
      </c>
      <c r="AN9" s="19">
        <v>3</v>
      </c>
      <c r="AO9" s="28" t="s">
        <v>70</v>
      </c>
      <c r="AP9" s="28">
        <v>3</v>
      </c>
      <c r="AQ9" s="30">
        <f t="shared" ref="AQ9" si="8">(AF9+AH9+AJ9+AL9+AN9+AP9)/6</f>
        <v>3</v>
      </c>
      <c r="AR9" s="19"/>
      <c r="AS9" s="27">
        <f t="shared" ref="AS9" si="9">AC9/AQ9</f>
        <v>1.1944444444444444</v>
      </c>
      <c r="AT9" s="27" t="str">
        <f t="shared" ref="AT9" si="10">IF(AS9&lt;=1,"LOW", IF(AS9&lt;=2,"MEDIUM LOW", IF(AS9&lt;=3,"MEDIUM", IF(AS9&lt;=4,"MEDIUM HIGH", "HIGH"))))</f>
        <v>MEDIUM LOW</v>
      </c>
      <c r="AU9" s="31">
        <v>3</v>
      </c>
      <c r="AV9" s="27">
        <f t="shared" si="1"/>
        <v>12</v>
      </c>
      <c r="AW9" s="19" t="str">
        <f t="shared" si="7"/>
        <v>HIGH RISK</v>
      </c>
    </row>
    <row r="10" spans="1:49" ht="157.5">
      <c r="A10" s="19"/>
      <c r="B10" s="19" t="s">
        <v>211</v>
      </c>
      <c r="C10" s="19">
        <v>4</v>
      </c>
      <c r="D10" s="19" t="str">
        <f>'[2]3.1.1 Crop'!D17</f>
        <v>Slight</v>
      </c>
      <c r="E10" s="19" t="s">
        <v>81</v>
      </c>
      <c r="F10" s="20" t="s">
        <v>82</v>
      </c>
      <c r="G10" s="19">
        <f>[1]Sheet1!$I$17</f>
        <v>496</v>
      </c>
      <c r="H10" s="19">
        <v>802.99800000000005</v>
      </c>
      <c r="I10" s="21" t="s">
        <v>83</v>
      </c>
      <c r="J10" s="22">
        <v>610000</v>
      </c>
      <c r="K10" s="19">
        <v>420.012</v>
      </c>
      <c r="L10" s="23">
        <v>0.52305485194234602</v>
      </c>
      <c r="M10" s="19">
        <v>5</v>
      </c>
      <c r="N10" s="19"/>
      <c r="O10" s="23">
        <v>0.38272744048717477</v>
      </c>
      <c r="P10" s="19">
        <v>3</v>
      </c>
      <c r="Q10" s="23">
        <v>0.44999999999999996</v>
      </c>
      <c r="R10" s="19">
        <v>4</v>
      </c>
      <c r="S10" s="24">
        <f>1-70%</f>
        <v>0.30000000000000004</v>
      </c>
      <c r="T10" s="19">
        <v>2</v>
      </c>
      <c r="U10" s="23">
        <f>1-20.2677964328678%</f>
        <v>0.79732203567132198</v>
      </c>
      <c r="V10" s="19">
        <v>5</v>
      </c>
      <c r="W10" s="25">
        <f>1-4.43323599681444%</f>
        <v>0.95566764003185556</v>
      </c>
      <c r="X10" s="19">
        <v>1</v>
      </c>
      <c r="Y10" s="26">
        <f>G10*0.1</f>
        <v>49.6</v>
      </c>
      <c r="Z10" s="19">
        <v>3</v>
      </c>
      <c r="AA10" s="30">
        <f t="shared" si="2"/>
        <v>3</v>
      </c>
      <c r="AB10" s="19"/>
      <c r="AC10" s="27">
        <f t="shared" si="0"/>
        <v>4</v>
      </c>
      <c r="AD10" s="19" t="str">
        <f t="shared" ref="AD10:AD13" si="11">IF(AC10&lt;=1,"LOW", IF(AC10&lt;=2,"MEDIUM LOW", IF(AC10&lt;=3,"MEDIUM", IF(AC10&lt;=4,"MEDIUM HIGH", "HIGH"))))</f>
        <v>MEDIUM HIGH</v>
      </c>
      <c r="AE10" s="28" t="s">
        <v>65</v>
      </c>
      <c r="AF10" s="29">
        <v>3</v>
      </c>
      <c r="AG10" s="28" t="s">
        <v>66</v>
      </c>
      <c r="AH10" s="19">
        <v>3</v>
      </c>
      <c r="AI10" s="28" t="s">
        <v>84</v>
      </c>
      <c r="AJ10" s="19">
        <v>3</v>
      </c>
      <c r="AK10" s="28" t="s">
        <v>68</v>
      </c>
      <c r="AL10" s="19">
        <v>3</v>
      </c>
      <c r="AM10" s="28" t="s">
        <v>69</v>
      </c>
      <c r="AN10" s="19">
        <v>3</v>
      </c>
      <c r="AO10" s="28" t="s">
        <v>70</v>
      </c>
      <c r="AP10" s="28">
        <v>3</v>
      </c>
      <c r="AQ10" s="30">
        <f t="shared" ref="AQ10:AQ13" si="12">(AF10+AH10+AJ10+AL10+AN10+AP10)/6</f>
        <v>3</v>
      </c>
      <c r="AR10" s="19"/>
      <c r="AS10" s="27">
        <f t="shared" ref="AS10:AS13" si="13">AC10/AQ10</f>
        <v>1.3333333333333333</v>
      </c>
      <c r="AT10" s="27" t="str">
        <f t="shared" ref="AT10:AT13" si="14">IF(AS10&lt;=1,"LOW", IF(AS10&lt;=2,"MEDIUM LOW", IF(AS10&lt;=3,"MEDIUM", IF(AS10&lt;=4,"MEDIUM HIGH", "HIGH"))))</f>
        <v>MEDIUM LOW</v>
      </c>
      <c r="AU10" s="31">
        <v>3</v>
      </c>
      <c r="AV10" s="27">
        <f t="shared" si="1"/>
        <v>12</v>
      </c>
      <c r="AW10" s="19" t="str">
        <f t="shared" si="7"/>
        <v>HIGH RISK</v>
      </c>
    </row>
    <row r="11" spans="1:49" ht="204.75">
      <c r="A11" s="19"/>
      <c r="B11" s="19" t="s">
        <v>211</v>
      </c>
      <c r="C11" s="19">
        <v>4</v>
      </c>
      <c r="D11" s="19" t="str">
        <f>'[2]3.1.1 Crop'!D21</f>
        <v>Severe</v>
      </c>
      <c r="E11" s="19" t="s">
        <v>78</v>
      </c>
      <c r="F11" s="20" t="s">
        <v>85</v>
      </c>
      <c r="G11" s="19">
        <f>[1]Sheet1!$I$20</f>
        <v>89</v>
      </c>
      <c r="H11" s="19">
        <v>699.63199999999995</v>
      </c>
      <c r="I11" s="21" t="s">
        <v>86</v>
      </c>
      <c r="J11" s="22">
        <v>6000000</v>
      </c>
      <c r="K11" s="19">
        <v>110.88440000000001</v>
      </c>
      <c r="L11" s="23">
        <v>0.15848960596427838</v>
      </c>
      <c r="M11" s="19">
        <v>2</v>
      </c>
      <c r="N11" s="19"/>
      <c r="O11" s="23">
        <v>0.51080380293863437</v>
      </c>
      <c r="P11" s="19">
        <v>4</v>
      </c>
      <c r="Q11" s="23">
        <f>1-55%</f>
        <v>0.44999999999999996</v>
      </c>
      <c r="R11" s="34">
        <v>4</v>
      </c>
      <c r="S11" s="23">
        <f>1-75%</f>
        <v>0.25</v>
      </c>
      <c r="T11" s="19">
        <v>1</v>
      </c>
      <c r="U11" s="23">
        <v>0.64</v>
      </c>
      <c r="V11" s="19">
        <v>5</v>
      </c>
      <c r="W11" s="35">
        <f>1-4.63492063492063%</f>
        <v>0.95365079365079375</v>
      </c>
      <c r="X11" s="19">
        <v>1</v>
      </c>
      <c r="Y11" s="26">
        <f>G11*0.2</f>
        <v>17.8</v>
      </c>
      <c r="Z11" s="19">
        <v>2</v>
      </c>
      <c r="AA11" s="30">
        <f t="shared" si="2"/>
        <v>2.8333333333333335</v>
      </c>
      <c r="AB11" s="19"/>
      <c r="AC11" s="27">
        <f t="shared" si="0"/>
        <v>2.416666666666667</v>
      </c>
      <c r="AD11" s="19" t="str">
        <f t="shared" si="11"/>
        <v>MEDIUM</v>
      </c>
      <c r="AE11" s="28" t="s">
        <v>65</v>
      </c>
      <c r="AF11" s="29">
        <v>3</v>
      </c>
      <c r="AG11" s="28" t="s">
        <v>87</v>
      </c>
      <c r="AH11" s="19">
        <v>3</v>
      </c>
      <c r="AI11" s="28" t="s">
        <v>88</v>
      </c>
      <c r="AJ11" s="19">
        <v>3</v>
      </c>
      <c r="AK11" s="28" t="s">
        <v>68</v>
      </c>
      <c r="AL11" s="19">
        <v>3</v>
      </c>
      <c r="AM11" s="28" t="s">
        <v>69</v>
      </c>
      <c r="AN11" s="19">
        <v>3</v>
      </c>
      <c r="AO11" s="28" t="s">
        <v>70</v>
      </c>
      <c r="AP11" s="28">
        <v>3</v>
      </c>
      <c r="AQ11" s="30">
        <f t="shared" si="12"/>
        <v>3</v>
      </c>
      <c r="AR11" s="19"/>
      <c r="AS11" s="27">
        <f t="shared" si="13"/>
        <v>0.80555555555555569</v>
      </c>
      <c r="AT11" s="27" t="str">
        <f t="shared" si="14"/>
        <v>LOW</v>
      </c>
      <c r="AU11" s="31">
        <v>4</v>
      </c>
      <c r="AV11" s="27">
        <f t="shared" si="1"/>
        <v>16</v>
      </c>
      <c r="AW11" s="19" t="str">
        <f t="shared" si="7"/>
        <v>VERY HIGH RISK</v>
      </c>
    </row>
    <row r="12" spans="1:49" ht="204.75">
      <c r="A12" s="19"/>
      <c r="B12" s="19" t="s">
        <v>211</v>
      </c>
      <c r="C12" s="19">
        <v>4</v>
      </c>
      <c r="D12" s="19" t="str">
        <f>'[2]3.1.1 Crop'!D20</f>
        <v>Slight</v>
      </c>
      <c r="E12" s="19" t="s">
        <v>78</v>
      </c>
      <c r="F12" s="20" t="s">
        <v>89</v>
      </c>
      <c r="G12" s="19">
        <f>[1]Sheet1!$I$19</f>
        <v>280</v>
      </c>
      <c r="H12" s="19">
        <v>604.86969999999997</v>
      </c>
      <c r="I12" s="21" t="s">
        <v>83</v>
      </c>
      <c r="J12" s="22">
        <v>775000</v>
      </c>
      <c r="K12" s="19">
        <v>154.2884</v>
      </c>
      <c r="L12" s="23">
        <v>0.25507708519702676</v>
      </c>
      <c r="M12" s="19">
        <v>3</v>
      </c>
      <c r="N12" s="19"/>
      <c r="O12" s="36">
        <v>0.66531932093775259</v>
      </c>
      <c r="P12" s="19">
        <v>5</v>
      </c>
      <c r="Q12" s="23">
        <v>0.44999999999999996</v>
      </c>
      <c r="R12" s="19">
        <v>4</v>
      </c>
      <c r="S12" s="23">
        <f>1-65%</f>
        <v>0.35</v>
      </c>
      <c r="T12" s="19">
        <v>2</v>
      </c>
      <c r="U12" s="23">
        <v>0.42</v>
      </c>
      <c r="V12" s="19">
        <v>4</v>
      </c>
      <c r="W12" s="35">
        <v>1</v>
      </c>
      <c r="X12" s="19">
        <v>1</v>
      </c>
      <c r="Y12" s="26">
        <f>G12*0.2</f>
        <v>56</v>
      </c>
      <c r="Z12" s="19">
        <v>4</v>
      </c>
      <c r="AA12" s="30">
        <f t="shared" si="2"/>
        <v>3.3333333333333335</v>
      </c>
      <c r="AB12" s="19"/>
      <c r="AC12" s="27">
        <f t="shared" si="0"/>
        <v>3.166666666666667</v>
      </c>
      <c r="AD12" s="19" t="str">
        <f t="shared" si="11"/>
        <v>MEDIUM HIGH</v>
      </c>
      <c r="AE12" s="28" t="s">
        <v>65</v>
      </c>
      <c r="AF12" s="29">
        <v>3</v>
      </c>
      <c r="AG12" s="28" t="s">
        <v>87</v>
      </c>
      <c r="AH12" s="19">
        <v>3</v>
      </c>
      <c r="AI12" s="28" t="s">
        <v>90</v>
      </c>
      <c r="AJ12" s="19">
        <v>3</v>
      </c>
      <c r="AK12" s="28" t="s">
        <v>68</v>
      </c>
      <c r="AL12" s="19">
        <v>3</v>
      </c>
      <c r="AM12" s="28" t="s">
        <v>69</v>
      </c>
      <c r="AN12" s="19">
        <v>3</v>
      </c>
      <c r="AO12" s="28" t="s">
        <v>70</v>
      </c>
      <c r="AP12" s="28">
        <v>3</v>
      </c>
      <c r="AQ12" s="30">
        <f t="shared" si="12"/>
        <v>3</v>
      </c>
      <c r="AR12" s="19"/>
      <c r="AS12" s="27">
        <f t="shared" si="13"/>
        <v>1.0555555555555556</v>
      </c>
      <c r="AT12" s="27" t="str">
        <f t="shared" si="14"/>
        <v>MEDIUM LOW</v>
      </c>
      <c r="AU12" s="31">
        <v>2</v>
      </c>
      <c r="AV12" s="27">
        <f t="shared" si="1"/>
        <v>8</v>
      </c>
      <c r="AW12" s="19" t="str">
        <f t="shared" si="7"/>
        <v>MODERATE RISK</v>
      </c>
    </row>
    <row r="13" spans="1:49" ht="189">
      <c r="A13" s="19"/>
      <c r="B13" s="19" t="s">
        <v>211</v>
      </c>
      <c r="C13" s="19">
        <v>4</v>
      </c>
      <c r="D13" s="19" t="str">
        <f>'[2]3.1.1 Crop'!D26</f>
        <v>Moderate</v>
      </c>
      <c r="E13" s="19" t="s">
        <v>81</v>
      </c>
      <c r="F13" s="20" t="s">
        <v>91</v>
      </c>
      <c r="G13" s="19">
        <f>[1]Sheet1!$I$24</f>
        <v>300</v>
      </c>
      <c r="H13" s="19">
        <v>690.81399999999996</v>
      </c>
      <c r="I13" s="21" t="s">
        <v>181</v>
      </c>
      <c r="J13" s="22">
        <v>8000000</v>
      </c>
      <c r="K13" s="19">
        <v>545.81189999999992</v>
      </c>
      <c r="L13" s="23">
        <v>0.79009965055716869</v>
      </c>
      <c r="M13" s="19">
        <v>5</v>
      </c>
      <c r="N13" s="19"/>
      <c r="O13" s="23">
        <v>0.57031554343591739</v>
      </c>
      <c r="P13" s="19">
        <v>4</v>
      </c>
      <c r="Q13" s="23">
        <v>0.44999999999999996</v>
      </c>
      <c r="R13" s="19">
        <v>4</v>
      </c>
      <c r="S13" s="23">
        <f>1-66%</f>
        <v>0.33999999999999997</v>
      </c>
      <c r="T13" s="19">
        <v>2</v>
      </c>
      <c r="U13" s="23">
        <v>0.53</v>
      </c>
      <c r="V13" s="19">
        <v>5</v>
      </c>
      <c r="W13" s="35">
        <f>1-9.29127052722558%</f>
        <v>0.90708729472774419</v>
      </c>
      <c r="X13" s="19">
        <v>1</v>
      </c>
      <c r="Y13" s="26">
        <f>G13*0.1</f>
        <v>30</v>
      </c>
      <c r="Z13" s="19">
        <v>3</v>
      </c>
      <c r="AA13" s="30">
        <f t="shared" si="2"/>
        <v>3.1666666666666665</v>
      </c>
      <c r="AB13" s="19"/>
      <c r="AC13" s="27">
        <f t="shared" si="0"/>
        <v>4.083333333333333</v>
      </c>
      <c r="AD13" s="19" t="str">
        <f t="shared" si="11"/>
        <v>HIGH</v>
      </c>
      <c r="AE13" s="28" t="s">
        <v>65</v>
      </c>
      <c r="AF13" s="29">
        <v>3</v>
      </c>
      <c r="AG13" s="28" t="s">
        <v>73</v>
      </c>
      <c r="AH13" s="19">
        <v>3</v>
      </c>
      <c r="AI13" s="28" t="s">
        <v>93</v>
      </c>
      <c r="AJ13" s="19">
        <v>3</v>
      </c>
      <c r="AK13" s="28" t="s">
        <v>68</v>
      </c>
      <c r="AL13" s="19">
        <v>3</v>
      </c>
      <c r="AM13" s="28" t="s">
        <v>69</v>
      </c>
      <c r="AN13" s="19">
        <v>3</v>
      </c>
      <c r="AO13" s="28" t="s">
        <v>70</v>
      </c>
      <c r="AP13" s="28">
        <v>3</v>
      </c>
      <c r="AQ13" s="30">
        <f t="shared" si="12"/>
        <v>3</v>
      </c>
      <c r="AR13" s="19"/>
      <c r="AS13" s="27">
        <f t="shared" si="13"/>
        <v>1.3611111111111109</v>
      </c>
      <c r="AT13" s="27" t="str">
        <f t="shared" si="14"/>
        <v>MEDIUM LOW</v>
      </c>
      <c r="AU13" s="31">
        <v>3</v>
      </c>
      <c r="AV13" s="27">
        <f t="shared" si="1"/>
        <v>12</v>
      </c>
      <c r="AW13" s="19" t="str">
        <f t="shared" si="7"/>
        <v>HIGH RISK</v>
      </c>
    </row>
    <row r="14" spans="1:49" ht="157.5">
      <c r="A14" s="19"/>
      <c r="B14" s="19" t="s">
        <v>211</v>
      </c>
      <c r="C14" s="19">
        <v>4</v>
      </c>
      <c r="D14" s="19" t="str">
        <f>'[2]3.1.1 Crop'!D30</f>
        <v>Slight</v>
      </c>
      <c r="E14" s="19" t="s">
        <v>78</v>
      </c>
      <c r="F14" s="20" t="s">
        <v>94</v>
      </c>
      <c r="G14" s="19">
        <f>[1]Sheet1!$I$28</f>
        <v>95</v>
      </c>
      <c r="H14" s="19">
        <v>151.44800000000001</v>
      </c>
      <c r="I14" s="21" t="s">
        <v>83</v>
      </c>
      <c r="J14" s="22">
        <v>130000</v>
      </c>
      <c r="K14" s="19">
        <v>6.979133</v>
      </c>
      <c r="L14" s="23">
        <v>4.6082701653372769E-2</v>
      </c>
      <c r="M14" s="19">
        <v>1</v>
      </c>
      <c r="N14" s="19"/>
      <c r="O14" s="23">
        <v>0.47914614121510674</v>
      </c>
      <c r="P14" s="19">
        <v>4</v>
      </c>
      <c r="Q14" s="23">
        <v>0.44999999999999996</v>
      </c>
      <c r="R14" s="19">
        <v>4</v>
      </c>
      <c r="S14" s="23">
        <f>1-55%</f>
        <v>0.44999999999999996</v>
      </c>
      <c r="T14" s="19">
        <v>3</v>
      </c>
      <c r="U14" s="23">
        <v>0.43</v>
      </c>
      <c r="V14" s="19">
        <v>4</v>
      </c>
      <c r="W14" s="35">
        <v>1</v>
      </c>
      <c r="X14" s="19">
        <v>1</v>
      </c>
      <c r="Y14" s="26">
        <f>G14*0.2</f>
        <v>19</v>
      </c>
      <c r="Z14" s="19">
        <v>2</v>
      </c>
      <c r="AA14" s="30">
        <f t="shared" si="2"/>
        <v>3</v>
      </c>
      <c r="AB14" s="19"/>
      <c r="AC14" s="27">
        <f t="shared" si="0"/>
        <v>2</v>
      </c>
      <c r="AD14" s="19" t="str">
        <f t="shared" ref="AD14:AD15" si="15">IF(AC14&lt;=1,"LOW", IF(AC14&lt;=2,"MEDIUM LOW", IF(AC14&lt;=3,"MEDIUM", IF(AC14&lt;=4,"MEDIUM HIGH", "HIGH"))))</f>
        <v>MEDIUM LOW</v>
      </c>
      <c r="AE14" s="28" t="s">
        <v>95</v>
      </c>
      <c r="AF14" s="29">
        <v>4</v>
      </c>
      <c r="AG14" s="28" t="s">
        <v>96</v>
      </c>
      <c r="AH14" s="19">
        <v>2</v>
      </c>
      <c r="AI14" s="28" t="s">
        <v>97</v>
      </c>
      <c r="AJ14" s="19">
        <v>3</v>
      </c>
      <c r="AK14" s="28" t="s">
        <v>68</v>
      </c>
      <c r="AL14" s="19">
        <v>3</v>
      </c>
      <c r="AM14" s="28" t="s">
        <v>69</v>
      </c>
      <c r="AN14" s="19">
        <v>3</v>
      </c>
      <c r="AO14" s="28" t="s">
        <v>70</v>
      </c>
      <c r="AP14" s="28">
        <v>3</v>
      </c>
      <c r="AQ14" s="30">
        <f t="shared" ref="AQ14:AQ15" si="16">(AF14+AH14+AJ14+AL14+AN14+AP14)/6</f>
        <v>3</v>
      </c>
      <c r="AR14" s="19"/>
      <c r="AS14" s="27">
        <f t="shared" ref="AS14:AS15" si="17">AC14/AQ14</f>
        <v>0.66666666666666663</v>
      </c>
      <c r="AT14" s="27" t="str">
        <f t="shared" ref="AT14:AT15" si="18">IF(AS14&lt;=1,"LOW", IF(AS14&lt;=2,"MEDIUM LOW", IF(AS14&lt;=3,"MEDIUM", IF(AS14&lt;=4,"MEDIUM HIGH", "HIGH"))))</f>
        <v>LOW</v>
      </c>
      <c r="AU14" s="31">
        <v>3</v>
      </c>
      <c r="AV14" s="27">
        <f t="shared" si="1"/>
        <v>12</v>
      </c>
      <c r="AW14" s="19" t="str">
        <f t="shared" si="7"/>
        <v>HIGH RISK</v>
      </c>
    </row>
    <row r="15" spans="1:49" ht="157.5">
      <c r="A15" s="19"/>
      <c r="B15" s="19" t="s">
        <v>211</v>
      </c>
      <c r="C15" s="19">
        <v>4</v>
      </c>
      <c r="D15" s="19" t="str">
        <f>'[2]3.1.1 Crop'!D34</f>
        <v>Slight</v>
      </c>
      <c r="E15" s="19" t="s">
        <v>78</v>
      </c>
      <c r="F15" s="20" t="s">
        <v>98</v>
      </c>
      <c r="G15" s="19">
        <f>[1]Sheet1!$I$32</f>
        <v>500</v>
      </c>
      <c r="H15" s="19">
        <v>1995.4369999999999</v>
      </c>
      <c r="I15" s="21" t="s">
        <v>83</v>
      </c>
      <c r="J15" s="22">
        <v>350000</v>
      </c>
      <c r="K15" s="19">
        <v>367.03409999999997</v>
      </c>
      <c r="L15" s="23">
        <v>0.18393670158466541</v>
      </c>
      <c r="M15" s="19">
        <v>3</v>
      </c>
      <c r="N15" s="19"/>
      <c r="O15" s="23">
        <v>0.53847703464947627</v>
      </c>
      <c r="P15" s="19">
        <v>5</v>
      </c>
      <c r="Q15" s="23">
        <v>0.44999999999999996</v>
      </c>
      <c r="R15" s="19">
        <v>4</v>
      </c>
      <c r="S15" s="23">
        <f>1-59%</f>
        <v>0.41000000000000003</v>
      </c>
      <c r="T15" s="19">
        <v>3</v>
      </c>
      <c r="U15" s="23">
        <v>0.45</v>
      </c>
      <c r="V15" s="19">
        <v>4</v>
      </c>
      <c r="W15" s="35">
        <v>1</v>
      </c>
      <c r="X15" s="19">
        <v>1</v>
      </c>
      <c r="Y15" s="26">
        <f>G15*0.1</f>
        <v>50</v>
      </c>
      <c r="Z15" s="19">
        <v>5</v>
      </c>
      <c r="AA15" s="30">
        <f t="shared" si="2"/>
        <v>3.6666666666666665</v>
      </c>
      <c r="AB15" s="19"/>
      <c r="AC15" s="27">
        <f t="shared" si="0"/>
        <v>3.333333333333333</v>
      </c>
      <c r="AD15" s="19" t="str">
        <f t="shared" si="15"/>
        <v>MEDIUM HIGH</v>
      </c>
      <c r="AE15" s="28" t="s">
        <v>95</v>
      </c>
      <c r="AF15" s="29">
        <v>4</v>
      </c>
      <c r="AG15" s="28" t="s">
        <v>99</v>
      </c>
      <c r="AH15" s="19">
        <v>4</v>
      </c>
      <c r="AI15" s="28" t="s">
        <v>100</v>
      </c>
      <c r="AJ15" s="19">
        <v>3</v>
      </c>
      <c r="AK15" s="28" t="s">
        <v>68</v>
      </c>
      <c r="AL15" s="19">
        <v>3</v>
      </c>
      <c r="AM15" s="28" t="s">
        <v>69</v>
      </c>
      <c r="AN15" s="19">
        <v>3</v>
      </c>
      <c r="AO15" s="28" t="s">
        <v>70</v>
      </c>
      <c r="AP15" s="28">
        <v>3</v>
      </c>
      <c r="AQ15" s="30">
        <f t="shared" si="16"/>
        <v>3.3333333333333335</v>
      </c>
      <c r="AR15" s="19"/>
      <c r="AS15" s="27">
        <f t="shared" si="17"/>
        <v>0.99999999999999989</v>
      </c>
      <c r="AT15" s="27" t="str">
        <f t="shared" si="18"/>
        <v>LOW</v>
      </c>
      <c r="AU15" s="31">
        <f t="shared" ref="AU15:AU26" si="19">(O15+AS15)/2</f>
        <v>0.76923851732473802</v>
      </c>
      <c r="AV15" s="27">
        <f t="shared" si="1"/>
        <v>3.0769540692989521</v>
      </c>
      <c r="AW15" s="19" t="str">
        <f t="shared" si="7"/>
        <v>LOW RISK</v>
      </c>
    </row>
    <row r="16" spans="1:49" ht="173.25">
      <c r="A16" s="19"/>
      <c r="B16" s="19" t="s">
        <v>211</v>
      </c>
      <c r="C16" s="19">
        <v>4</v>
      </c>
      <c r="D16" s="19" t="str">
        <f>'[2]3.1.1 Crop'!D35</f>
        <v>Severe</v>
      </c>
      <c r="E16" s="19" t="s">
        <v>81</v>
      </c>
      <c r="F16" s="20" t="s">
        <v>101</v>
      </c>
      <c r="G16" s="19">
        <f>[1]Sheet1!$I$33</f>
        <v>360</v>
      </c>
      <c r="H16" s="19">
        <v>696.03599999999994</v>
      </c>
      <c r="I16" s="21" t="s">
        <v>102</v>
      </c>
      <c r="J16" s="22">
        <v>2700000</v>
      </c>
      <c r="K16" s="19">
        <v>106.64344000000001</v>
      </c>
      <c r="L16" s="23">
        <v>0.15321540839841621</v>
      </c>
      <c r="M16" s="19">
        <v>2</v>
      </c>
      <c r="N16" s="19"/>
      <c r="O16" s="23">
        <v>0.44053464266230224</v>
      </c>
      <c r="P16" s="19">
        <v>4</v>
      </c>
      <c r="Q16" s="23">
        <v>0.44999999999999996</v>
      </c>
      <c r="R16" s="19">
        <v>4</v>
      </c>
      <c r="S16" s="23">
        <f>1-64%</f>
        <v>0.36</v>
      </c>
      <c r="T16" s="19">
        <v>2</v>
      </c>
      <c r="U16" s="23">
        <v>0.6</v>
      </c>
      <c r="V16" s="19">
        <v>5</v>
      </c>
      <c r="W16" s="35">
        <v>1</v>
      </c>
      <c r="X16" s="19">
        <v>1</v>
      </c>
      <c r="Y16" s="26">
        <f>G16*0.1</f>
        <v>36</v>
      </c>
      <c r="Z16" s="19">
        <v>4</v>
      </c>
      <c r="AA16" s="30">
        <f t="shared" si="2"/>
        <v>3.3333333333333335</v>
      </c>
      <c r="AB16" s="19"/>
      <c r="AC16" s="27">
        <f t="shared" si="0"/>
        <v>2.666666666666667</v>
      </c>
      <c r="AD16" s="19" t="str">
        <f t="shared" ref="AD16:AD26" si="20">IF(AC16&lt;=1,"LOW", IF(AC16&lt;=2,"MEDIUM LOW", IF(AC16&lt;=3,"MEDIUM", IF(AC16&lt;=4,"MEDIUM HIGH", "HIGH"))))</f>
        <v>MEDIUM</v>
      </c>
      <c r="AE16" s="28" t="s">
        <v>65</v>
      </c>
      <c r="AF16" s="29">
        <v>3</v>
      </c>
      <c r="AG16" s="28" t="s">
        <v>66</v>
      </c>
      <c r="AH16" s="19">
        <v>3</v>
      </c>
      <c r="AI16" s="28" t="s">
        <v>103</v>
      </c>
      <c r="AJ16" s="19">
        <v>3</v>
      </c>
      <c r="AK16" s="28" t="s">
        <v>68</v>
      </c>
      <c r="AL16" s="19">
        <v>3</v>
      </c>
      <c r="AM16" s="28" t="s">
        <v>69</v>
      </c>
      <c r="AN16" s="19">
        <v>3</v>
      </c>
      <c r="AO16" s="28" t="s">
        <v>70</v>
      </c>
      <c r="AP16" s="28">
        <v>3</v>
      </c>
      <c r="AQ16" s="30">
        <f t="shared" ref="AQ16" si="21">(AF16+AH16+AJ16+AL16+AN16+AP16)/6</f>
        <v>3</v>
      </c>
      <c r="AR16" s="19"/>
      <c r="AS16" s="27">
        <f t="shared" ref="AS16" si="22">AC16/AQ16</f>
        <v>0.88888888888888895</v>
      </c>
      <c r="AT16" s="27" t="str">
        <f t="shared" ref="AT16" si="23">IF(AS16&lt;=1,"LOW", IF(AS16&lt;=2,"MEDIUM LOW", IF(AS16&lt;=3,"MEDIUM", IF(AS16&lt;=4,"MEDIUM HIGH", "HIGH"))))</f>
        <v>LOW</v>
      </c>
      <c r="AU16" s="31">
        <f t="shared" si="19"/>
        <v>0.66471176577559565</v>
      </c>
      <c r="AV16" s="27">
        <f t="shared" si="1"/>
        <v>2.6588470631023826</v>
      </c>
      <c r="AW16" s="19" t="str">
        <f t="shared" si="7"/>
        <v>LOW RISK</v>
      </c>
    </row>
    <row r="17" spans="1:49" ht="157.5">
      <c r="A17" s="19"/>
      <c r="B17" s="19" t="s">
        <v>211</v>
      </c>
      <c r="C17" s="19">
        <v>4</v>
      </c>
      <c r="D17" s="19" t="str">
        <f>'[2]3.1.1 Crop'!D45</f>
        <v>Slight</v>
      </c>
      <c r="E17" s="19" t="s">
        <v>78</v>
      </c>
      <c r="F17" s="20" t="s">
        <v>104</v>
      </c>
      <c r="G17" s="19">
        <f>[1]Sheet1!$I$42</f>
        <v>697</v>
      </c>
      <c r="H17" s="19">
        <v>174.066</v>
      </c>
      <c r="I17" s="21" t="s">
        <v>181</v>
      </c>
      <c r="J17" s="22">
        <v>3800000</v>
      </c>
      <c r="K17" s="19">
        <v>61.24286</v>
      </c>
      <c r="L17" s="23">
        <v>0.35183700435467008</v>
      </c>
      <c r="M17" s="19">
        <v>4</v>
      </c>
      <c r="N17" s="19"/>
      <c r="O17" s="23">
        <v>0.61360832011281496</v>
      </c>
      <c r="P17" s="19">
        <v>5</v>
      </c>
      <c r="Q17" s="23">
        <v>0.55000000000000004</v>
      </c>
      <c r="R17" s="34">
        <v>5</v>
      </c>
      <c r="S17" s="35">
        <f>1-0.6</f>
        <v>0.4</v>
      </c>
      <c r="T17" s="19">
        <v>3</v>
      </c>
      <c r="U17" s="23">
        <f>1-75.8333046085967%</f>
        <v>0.24166695391403292</v>
      </c>
      <c r="V17" s="19">
        <v>2</v>
      </c>
      <c r="W17" s="35">
        <v>1</v>
      </c>
      <c r="X17" s="19">
        <v>1</v>
      </c>
      <c r="Y17" s="26">
        <f>G17*0.05</f>
        <v>34.85</v>
      </c>
      <c r="Z17" s="19">
        <v>4</v>
      </c>
      <c r="AA17" s="30">
        <f t="shared" si="2"/>
        <v>3.3333333333333335</v>
      </c>
      <c r="AB17" s="19"/>
      <c r="AC17" s="27">
        <f t="shared" si="0"/>
        <v>3.666666666666667</v>
      </c>
      <c r="AD17" s="19" t="str">
        <f t="shared" si="20"/>
        <v>MEDIUM HIGH</v>
      </c>
      <c r="AE17" s="28" t="s">
        <v>95</v>
      </c>
      <c r="AF17" s="29">
        <v>4</v>
      </c>
      <c r="AG17" s="28" t="s">
        <v>99</v>
      </c>
      <c r="AH17" s="19">
        <v>4</v>
      </c>
      <c r="AI17" s="28" t="s">
        <v>105</v>
      </c>
      <c r="AJ17" s="19">
        <v>3</v>
      </c>
      <c r="AK17" s="28" t="s">
        <v>68</v>
      </c>
      <c r="AL17" s="19">
        <v>3</v>
      </c>
      <c r="AM17" s="28" t="s">
        <v>69</v>
      </c>
      <c r="AN17" s="19">
        <v>3</v>
      </c>
      <c r="AO17" s="28" t="s">
        <v>70</v>
      </c>
      <c r="AP17" s="28">
        <v>3</v>
      </c>
      <c r="AQ17" s="30">
        <f t="shared" ref="AQ17" si="24">(AF17+AH17+AJ17+AL17+AN17+AP17)/6</f>
        <v>3.3333333333333335</v>
      </c>
      <c r="AR17" s="19"/>
      <c r="AS17" s="27">
        <f t="shared" ref="AS17" si="25">AC17/AQ17</f>
        <v>1.1000000000000001</v>
      </c>
      <c r="AT17" s="27" t="str">
        <f t="shared" ref="AT17" si="26">IF(AS17&lt;=1,"LOW", IF(AS17&lt;=2,"MEDIUM LOW", IF(AS17&lt;=3,"MEDIUM", IF(AS17&lt;=4,"MEDIUM HIGH", "HIGH"))))</f>
        <v>MEDIUM LOW</v>
      </c>
      <c r="AU17" s="31">
        <f t="shared" si="19"/>
        <v>0.85680416005640758</v>
      </c>
      <c r="AV17" s="27">
        <f t="shared" si="1"/>
        <v>3.4272166402256303</v>
      </c>
      <c r="AW17" s="19" t="str">
        <f t="shared" si="7"/>
        <v>LOW RISK</v>
      </c>
    </row>
    <row r="18" spans="1:49" ht="220.5">
      <c r="A18" s="19"/>
      <c r="B18" s="19" t="s">
        <v>211</v>
      </c>
      <c r="C18" s="19">
        <v>4</v>
      </c>
      <c r="D18" s="19" t="str">
        <f>'[2]3.1.1 Crop'!D36</f>
        <v>Slight</v>
      </c>
      <c r="E18" s="19" t="s">
        <v>81</v>
      </c>
      <c r="F18" s="20" t="s">
        <v>106</v>
      </c>
      <c r="G18" s="19">
        <f>[1]Sheet1!$I$34</f>
        <v>220</v>
      </c>
      <c r="H18" s="19">
        <v>518.54</v>
      </c>
      <c r="I18" s="21" t="s">
        <v>182</v>
      </c>
      <c r="J18" s="22">
        <v>832500</v>
      </c>
      <c r="K18" s="19">
        <v>135.79599999999999</v>
      </c>
      <c r="L18" s="23">
        <v>0.26188143634049449</v>
      </c>
      <c r="M18" s="19">
        <v>3</v>
      </c>
      <c r="N18" s="19"/>
      <c r="O18" s="37">
        <v>0.39795918367346939</v>
      </c>
      <c r="P18" s="19">
        <v>4</v>
      </c>
      <c r="Q18" s="23">
        <v>0.44999999999999996</v>
      </c>
      <c r="R18" s="19">
        <v>4</v>
      </c>
      <c r="S18" s="35">
        <f>1-0.78</f>
        <v>0.21999999999999997</v>
      </c>
      <c r="T18" s="19">
        <v>1</v>
      </c>
      <c r="U18" s="23">
        <f>1-46.0813052030702%</f>
        <v>0.539186947969298</v>
      </c>
      <c r="V18" s="19">
        <v>5</v>
      </c>
      <c r="W18" s="35">
        <f>1-10.5263157894737%</f>
        <v>0.89473684210526305</v>
      </c>
      <c r="X18" s="19">
        <v>1</v>
      </c>
      <c r="Y18" s="26">
        <f>G18*0.15</f>
        <v>33</v>
      </c>
      <c r="Z18" s="19">
        <v>4</v>
      </c>
      <c r="AA18" s="30">
        <f t="shared" si="2"/>
        <v>3.1666666666666665</v>
      </c>
      <c r="AB18" s="19"/>
      <c r="AC18" s="27">
        <f t="shared" si="0"/>
        <v>3.083333333333333</v>
      </c>
      <c r="AD18" s="19" t="str">
        <f t="shared" si="20"/>
        <v>MEDIUM HIGH</v>
      </c>
      <c r="AE18" s="28" t="s">
        <v>65</v>
      </c>
      <c r="AF18" s="29">
        <v>3</v>
      </c>
      <c r="AG18" s="28" t="s">
        <v>66</v>
      </c>
      <c r="AH18" s="19">
        <v>3</v>
      </c>
      <c r="AI18" s="28" t="s">
        <v>107</v>
      </c>
      <c r="AJ18" s="19">
        <v>3</v>
      </c>
      <c r="AK18" s="28" t="s">
        <v>68</v>
      </c>
      <c r="AL18" s="19">
        <v>3</v>
      </c>
      <c r="AM18" s="28" t="s">
        <v>69</v>
      </c>
      <c r="AN18" s="19">
        <v>3</v>
      </c>
      <c r="AO18" s="28" t="s">
        <v>70</v>
      </c>
      <c r="AP18" s="28">
        <v>3</v>
      </c>
      <c r="AQ18" s="30">
        <f t="shared" ref="AQ18" si="27">(AF18+AH18+AJ18+AL18+AN18+AP18)/6</f>
        <v>3</v>
      </c>
      <c r="AR18" s="19"/>
      <c r="AS18" s="27">
        <f t="shared" ref="AS18" si="28">AC18/AQ18</f>
        <v>1.0277777777777777</v>
      </c>
      <c r="AT18" s="27" t="str">
        <f t="shared" ref="AT18" si="29">IF(AS18&lt;=1,"LOW", IF(AS18&lt;=2,"MEDIUM LOW", IF(AS18&lt;=3,"MEDIUM", IF(AS18&lt;=4,"MEDIUM HIGH", "HIGH"))))</f>
        <v>MEDIUM LOW</v>
      </c>
      <c r="AU18" s="31">
        <v>4</v>
      </c>
      <c r="AV18" s="27">
        <f t="shared" si="1"/>
        <v>16</v>
      </c>
      <c r="AW18" s="19" t="str">
        <f t="shared" si="7"/>
        <v>VERY HIGH RISK</v>
      </c>
    </row>
    <row r="19" spans="1:49" ht="173.25">
      <c r="A19" s="19"/>
      <c r="B19" s="19" t="s">
        <v>211</v>
      </c>
      <c r="C19" s="19">
        <v>4</v>
      </c>
      <c r="D19" s="19" t="str">
        <f>'[2]3.1.1 Crop'!D37</f>
        <v>Severe</v>
      </c>
      <c r="E19" s="19" t="s">
        <v>81</v>
      </c>
      <c r="F19" s="20" t="s">
        <v>108</v>
      </c>
      <c r="G19" s="38">
        <f>[1]Sheet1!$I$35</f>
        <v>1150</v>
      </c>
      <c r="H19" s="19">
        <v>390.36799999999999</v>
      </c>
      <c r="I19" s="21" t="s">
        <v>183</v>
      </c>
      <c r="J19" s="22">
        <v>1509000</v>
      </c>
      <c r="K19" s="19">
        <v>248.90893</v>
      </c>
      <c r="L19" s="23">
        <v>0.63762636793999505</v>
      </c>
      <c r="M19" s="19">
        <v>5</v>
      </c>
      <c r="N19" s="19"/>
      <c r="O19" s="37">
        <v>0.13721404093729739</v>
      </c>
      <c r="P19" s="19">
        <v>2</v>
      </c>
      <c r="Q19" s="23">
        <v>0.44999999999999996</v>
      </c>
      <c r="R19" s="19">
        <v>4</v>
      </c>
      <c r="S19" s="35">
        <f>1-0.8</f>
        <v>0.19999999999999996</v>
      </c>
      <c r="T19" s="19">
        <v>1</v>
      </c>
      <c r="U19" s="23">
        <v>0.68</v>
      </c>
      <c r="V19" s="19">
        <v>5</v>
      </c>
      <c r="W19" s="35">
        <f>1-26.7435398721867%</f>
        <v>0.73256460127813305</v>
      </c>
      <c r="X19" s="19">
        <v>2</v>
      </c>
      <c r="Y19" s="26">
        <f>G19*0.04</f>
        <v>46</v>
      </c>
      <c r="Z19" s="19">
        <v>4</v>
      </c>
      <c r="AA19" s="30">
        <f t="shared" si="2"/>
        <v>3</v>
      </c>
      <c r="AB19" s="19"/>
      <c r="AC19" s="27">
        <f t="shared" si="0"/>
        <v>4</v>
      </c>
      <c r="AD19" s="19" t="str">
        <f t="shared" si="20"/>
        <v>MEDIUM HIGH</v>
      </c>
      <c r="AE19" s="28" t="s">
        <v>65</v>
      </c>
      <c r="AF19" s="29">
        <v>3</v>
      </c>
      <c r="AG19" s="28" t="s">
        <v>66</v>
      </c>
      <c r="AH19" s="19">
        <v>3</v>
      </c>
      <c r="AI19" s="28" t="s">
        <v>103</v>
      </c>
      <c r="AJ19" s="19">
        <v>3</v>
      </c>
      <c r="AK19" s="28" t="s">
        <v>68</v>
      </c>
      <c r="AL19" s="19">
        <v>3</v>
      </c>
      <c r="AM19" s="28" t="s">
        <v>69</v>
      </c>
      <c r="AN19" s="19">
        <v>3</v>
      </c>
      <c r="AO19" s="28" t="s">
        <v>70</v>
      </c>
      <c r="AP19" s="28">
        <v>3</v>
      </c>
      <c r="AQ19" s="30">
        <f t="shared" ref="AQ19" si="30">(AF19+AH19+AJ19+AL19+AN19+AP19)/6</f>
        <v>3</v>
      </c>
      <c r="AR19" s="19"/>
      <c r="AS19" s="27">
        <f t="shared" ref="AS19" si="31">AC19/AQ19</f>
        <v>1.3333333333333333</v>
      </c>
      <c r="AT19" s="27" t="str">
        <f t="shared" ref="AT19" si="32">IF(AS19&lt;=1,"LOW", IF(AS19&lt;=2,"MEDIUM LOW", IF(AS19&lt;=3,"MEDIUM", IF(AS19&lt;=4,"MEDIUM HIGH", "HIGH"))))</f>
        <v>MEDIUM LOW</v>
      </c>
      <c r="AU19" s="31">
        <v>4</v>
      </c>
      <c r="AV19" s="27">
        <f t="shared" si="1"/>
        <v>16</v>
      </c>
      <c r="AW19" s="19" t="str">
        <f t="shared" si="7"/>
        <v>VERY HIGH RISK</v>
      </c>
    </row>
    <row r="20" spans="1:49" ht="173.25">
      <c r="A20" s="19"/>
      <c r="B20" s="19" t="s">
        <v>211</v>
      </c>
      <c r="C20" s="19">
        <v>4</v>
      </c>
      <c r="D20" s="19" t="str">
        <f>'[2]3.1.1 Crop'!D38</f>
        <v>Slight</v>
      </c>
      <c r="E20" s="19" t="s">
        <v>81</v>
      </c>
      <c r="F20" s="20" t="s">
        <v>109</v>
      </c>
      <c r="G20" s="19">
        <f>[1]Sheet1!$I$36</f>
        <v>830</v>
      </c>
      <c r="H20" s="19">
        <v>1513.2539999999999</v>
      </c>
      <c r="I20" s="21" t="s">
        <v>184</v>
      </c>
      <c r="J20" s="22">
        <v>3400000</v>
      </c>
      <c r="K20" s="19">
        <v>390.09899999999999</v>
      </c>
      <c r="L20" s="23">
        <v>0.25778818360962535</v>
      </c>
      <c r="M20" s="19">
        <v>3</v>
      </c>
      <c r="N20" s="19"/>
      <c r="O20" s="37">
        <v>0.53052995391705071</v>
      </c>
      <c r="P20" s="19">
        <v>5</v>
      </c>
      <c r="Q20" s="23">
        <v>0.44999999999999996</v>
      </c>
      <c r="R20" s="19">
        <v>4</v>
      </c>
      <c r="S20" s="35">
        <f>1-0.794</f>
        <v>0.20599999999999996</v>
      </c>
      <c r="T20" s="19">
        <v>2</v>
      </c>
      <c r="U20" s="23">
        <v>0.57999999999999996</v>
      </c>
      <c r="V20" s="19">
        <v>5</v>
      </c>
      <c r="W20" s="35">
        <v>1</v>
      </c>
      <c r="X20" s="19">
        <v>1</v>
      </c>
      <c r="Y20" s="26">
        <f>G20*0.05</f>
        <v>41.5</v>
      </c>
      <c r="Z20" s="19">
        <v>4</v>
      </c>
      <c r="AA20" s="30">
        <f t="shared" si="2"/>
        <v>3.5</v>
      </c>
      <c r="AB20" s="19"/>
      <c r="AC20" s="27">
        <f t="shared" si="0"/>
        <v>3.25</v>
      </c>
      <c r="AD20" s="19" t="str">
        <f t="shared" si="20"/>
        <v>MEDIUM HIGH</v>
      </c>
      <c r="AE20" s="28" t="s">
        <v>65</v>
      </c>
      <c r="AF20" s="29">
        <v>3</v>
      </c>
      <c r="AG20" s="28" t="s">
        <v>66</v>
      </c>
      <c r="AH20" s="19">
        <v>3</v>
      </c>
      <c r="AI20" s="28" t="s">
        <v>103</v>
      </c>
      <c r="AJ20" s="19">
        <v>3</v>
      </c>
      <c r="AK20" s="28" t="s">
        <v>68</v>
      </c>
      <c r="AL20" s="19">
        <v>3</v>
      </c>
      <c r="AM20" s="28" t="s">
        <v>69</v>
      </c>
      <c r="AN20" s="19">
        <v>3</v>
      </c>
      <c r="AO20" s="28" t="s">
        <v>70</v>
      </c>
      <c r="AP20" s="28">
        <v>3</v>
      </c>
      <c r="AQ20" s="30">
        <f t="shared" ref="AQ20" si="33">(AF20+AH20+AJ20+AL20+AN20+AP20)/6</f>
        <v>3</v>
      </c>
      <c r="AR20" s="19"/>
      <c r="AS20" s="27">
        <f t="shared" ref="AS20" si="34">AC20/AQ20</f>
        <v>1.0833333333333333</v>
      </c>
      <c r="AT20" s="27" t="str">
        <f t="shared" ref="AT20" si="35">IF(AS20&lt;=1,"LOW", IF(AS20&lt;=2,"MEDIUM LOW", IF(AS20&lt;=3,"MEDIUM", IF(AS20&lt;=4,"MEDIUM HIGH", "HIGH"))))</f>
        <v>MEDIUM LOW</v>
      </c>
      <c r="AU20" s="31">
        <v>4</v>
      </c>
      <c r="AV20" s="27">
        <f t="shared" si="1"/>
        <v>16</v>
      </c>
      <c r="AW20" s="19" t="str">
        <f t="shared" si="7"/>
        <v>VERY HIGH RISK</v>
      </c>
    </row>
    <row r="21" spans="1:49" ht="204.75">
      <c r="A21" s="19"/>
      <c r="B21" s="19" t="s">
        <v>211</v>
      </c>
      <c r="C21" s="19">
        <v>4</v>
      </c>
      <c r="D21" s="19" t="str">
        <f>'[2]3.1.1 Crop'!D51</f>
        <v>Slight</v>
      </c>
      <c r="E21" s="19" t="s">
        <v>81</v>
      </c>
      <c r="F21" s="20" t="s">
        <v>111</v>
      </c>
      <c r="G21" s="19">
        <f>[1]Sheet1!$I$50</f>
        <v>245</v>
      </c>
      <c r="H21" s="19">
        <v>771.8309999999999</v>
      </c>
      <c r="I21" s="21" t="s">
        <v>185</v>
      </c>
      <c r="J21" s="22">
        <v>325000</v>
      </c>
      <c r="K21" s="19">
        <v>246.10230799999999</v>
      </c>
      <c r="L21" s="23">
        <v>0.31885517425446763</v>
      </c>
      <c r="M21" s="19">
        <v>4</v>
      </c>
      <c r="N21" s="19"/>
      <c r="O21" s="37">
        <v>0.56637519872813991</v>
      </c>
      <c r="P21" s="19">
        <v>5</v>
      </c>
      <c r="Q21" s="23">
        <v>0.55000000000000004</v>
      </c>
      <c r="R21" s="19">
        <v>5</v>
      </c>
      <c r="S21" s="35">
        <f>1-0.765</f>
        <v>0.23499999999999999</v>
      </c>
      <c r="T21" s="19">
        <v>2</v>
      </c>
      <c r="U21" s="23">
        <v>0.56000000000000005</v>
      </c>
      <c r="V21" s="19">
        <v>5</v>
      </c>
      <c r="W21" s="35">
        <f>1-8%</f>
        <v>0.92</v>
      </c>
      <c r="X21" s="19">
        <v>1</v>
      </c>
      <c r="Y21" s="26">
        <f>G21*0.2</f>
        <v>49</v>
      </c>
      <c r="Z21" s="19">
        <v>4</v>
      </c>
      <c r="AA21" s="30">
        <f t="shared" si="2"/>
        <v>3.6666666666666665</v>
      </c>
      <c r="AB21" s="19"/>
      <c r="AC21" s="27">
        <f t="shared" si="0"/>
        <v>3.833333333333333</v>
      </c>
      <c r="AD21" s="19" t="str">
        <f t="shared" si="20"/>
        <v>MEDIUM HIGH</v>
      </c>
      <c r="AE21" s="28" t="s">
        <v>65</v>
      </c>
      <c r="AF21" s="29">
        <v>3</v>
      </c>
      <c r="AG21" s="28" t="s">
        <v>87</v>
      </c>
      <c r="AH21" s="19">
        <v>3</v>
      </c>
      <c r="AI21" s="28" t="s">
        <v>112</v>
      </c>
      <c r="AJ21" s="19">
        <v>3</v>
      </c>
      <c r="AK21" s="28" t="s">
        <v>68</v>
      </c>
      <c r="AL21" s="19">
        <v>3</v>
      </c>
      <c r="AM21" s="28" t="s">
        <v>69</v>
      </c>
      <c r="AN21" s="19">
        <v>3</v>
      </c>
      <c r="AO21" s="28" t="s">
        <v>70</v>
      </c>
      <c r="AP21" s="28">
        <v>3</v>
      </c>
      <c r="AQ21" s="30">
        <f t="shared" ref="AQ21" si="36">(AF21+AH21+AJ21+AL21+AN21+AP21)/6</f>
        <v>3</v>
      </c>
      <c r="AR21" s="19"/>
      <c r="AS21" s="27">
        <f t="shared" ref="AS21" si="37">AC21/AQ21</f>
        <v>1.2777777777777777</v>
      </c>
      <c r="AT21" s="27" t="str">
        <f t="shared" ref="AT21" si="38">IF(AS21&lt;=1,"LOW", IF(AS21&lt;=2,"MEDIUM LOW", IF(AS21&lt;=3,"MEDIUM", IF(AS21&lt;=4,"MEDIUM HIGH", "HIGH"))))</f>
        <v>MEDIUM LOW</v>
      </c>
      <c r="AU21" s="31">
        <v>4</v>
      </c>
      <c r="AV21" s="27">
        <f t="shared" si="1"/>
        <v>16</v>
      </c>
      <c r="AW21" s="19" t="str">
        <f t="shared" si="7"/>
        <v>VERY HIGH RISK</v>
      </c>
    </row>
    <row r="22" spans="1:49" ht="204.75">
      <c r="A22" s="19"/>
      <c r="B22" s="19" t="s">
        <v>211</v>
      </c>
      <c r="C22" s="19">
        <v>4</v>
      </c>
      <c r="D22" s="19" t="str">
        <f>'[2]3.1.1 Crop'!D55</f>
        <v>Severe</v>
      </c>
      <c r="E22" s="19" t="s">
        <v>81</v>
      </c>
      <c r="F22" s="20" t="s">
        <v>113</v>
      </c>
      <c r="G22" s="19">
        <f>[1]Sheet1!$I$54</f>
        <v>620</v>
      </c>
      <c r="H22" s="19">
        <v>276.44799999999998</v>
      </c>
      <c r="I22" s="21" t="s">
        <v>110</v>
      </c>
      <c r="J22" s="22">
        <v>15000000</v>
      </c>
      <c r="K22" s="19">
        <v>138.4539</v>
      </c>
      <c r="L22" s="23">
        <v>0.50083162113670565</v>
      </c>
      <c r="M22" s="19">
        <v>5</v>
      </c>
      <c r="N22" s="19"/>
      <c r="O22" s="37">
        <v>0.23196324351173475</v>
      </c>
      <c r="P22" s="19">
        <v>3</v>
      </c>
      <c r="Q22" s="23">
        <v>0.55000000000000004</v>
      </c>
      <c r="R22" s="19">
        <v>5</v>
      </c>
      <c r="S22" s="35">
        <f>1-0.802</f>
        <v>0.19799999999999995</v>
      </c>
      <c r="T22" s="19">
        <v>1</v>
      </c>
      <c r="U22" s="23">
        <v>0.72</v>
      </c>
      <c r="V22" s="19">
        <v>5</v>
      </c>
      <c r="W22" s="35">
        <f>1-21.1287718862536%</f>
        <v>0.78871228113746406</v>
      </c>
      <c r="X22" s="19">
        <v>2</v>
      </c>
      <c r="Y22" s="26">
        <f>G22*0.05</f>
        <v>31</v>
      </c>
      <c r="Z22" s="19">
        <v>2</v>
      </c>
      <c r="AA22" s="30">
        <f t="shared" si="2"/>
        <v>3</v>
      </c>
      <c r="AB22" s="19"/>
      <c r="AC22" s="27">
        <f t="shared" si="0"/>
        <v>4</v>
      </c>
      <c r="AD22" s="19" t="str">
        <f t="shared" si="20"/>
        <v>MEDIUM HIGH</v>
      </c>
      <c r="AE22" s="28" t="s">
        <v>65</v>
      </c>
      <c r="AF22" s="29">
        <v>3</v>
      </c>
      <c r="AG22" s="28" t="s">
        <v>87</v>
      </c>
      <c r="AH22" s="19">
        <v>3</v>
      </c>
      <c r="AI22" s="28" t="s">
        <v>103</v>
      </c>
      <c r="AJ22" s="19">
        <v>3</v>
      </c>
      <c r="AK22" s="28" t="s">
        <v>68</v>
      </c>
      <c r="AL22" s="19">
        <v>3</v>
      </c>
      <c r="AM22" s="28" t="s">
        <v>69</v>
      </c>
      <c r="AN22" s="19">
        <v>3</v>
      </c>
      <c r="AO22" s="28" t="s">
        <v>70</v>
      </c>
      <c r="AP22" s="28">
        <v>3</v>
      </c>
      <c r="AQ22" s="30">
        <f t="shared" ref="AQ22" si="39">(AF22+AH22+AJ22+AL22+AN22+AP22)/6</f>
        <v>3</v>
      </c>
      <c r="AR22" s="19"/>
      <c r="AS22" s="27">
        <f t="shared" ref="AS22" si="40">AC22/AQ22</f>
        <v>1.3333333333333333</v>
      </c>
      <c r="AT22" s="27" t="str">
        <f t="shared" ref="AT22" si="41">IF(AS22&lt;=1,"LOW", IF(AS22&lt;=2,"MEDIUM LOW", IF(AS22&lt;=3,"MEDIUM", IF(AS22&lt;=4,"MEDIUM HIGH", "HIGH"))))</f>
        <v>MEDIUM LOW</v>
      </c>
      <c r="AU22" s="31">
        <v>4</v>
      </c>
      <c r="AV22" s="27">
        <f t="shared" si="1"/>
        <v>16</v>
      </c>
      <c r="AW22" s="19" t="str">
        <f t="shared" si="7"/>
        <v>VERY HIGH RISK</v>
      </c>
    </row>
    <row r="23" spans="1:49" ht="165">
      <c r="A23" s="19"/>
      <c r="B23" s="19" t="s">
        <v>211</v>
      </c>
      <c r="C23" s="19">
        <v>4</v>
      </c>
      <c r="D23" s="19" t="str">
        <f>'[2]3.1.1 Crop'!D57</f>
        <v>Slight</v>
      </c>
      <c r="E23" s="19" t="s">
        <v>78</v>
      </c>
      <c r="F23" s="20" t="s">
        <v>114</v>
      </c>
      <c r="G23" s="19">
        <f>[1]Sheet1!$I$56</f>
        <v>352</v>
      </c>
      <c r="H23" s="19">
        <v>93.6173</v>
      </c>
      <c r="I23" s="21" t="s">
        <v>186</v>
      </c>
      <c r="J23" s="22">
        <v>2819000</v>
      </c>
      <c r="K23" s="19">
        <v>15.747800000000002</v>
      </c>
      <c r="L23" s="23">
        <v>0.16821463554278965</v>
      </c>
      <c r="M23" s="19">
        <v>3</v>
      </c>
      <c r="N23" s="19"/>
      <c r="O23" s="37">
        <v>0.87915262397688976</v>
      </c>
      <c r="P23" s="19">
        <v>5</v>
      </c>
      <c r="Q23" s="23">
        <v>0.55000000000000004</v>
      </c>
      <c r="R23" s="34">
        <v>5</v>
      </c>
      <c r="S23" s="35">
        <f>1-0.573</f>
        <v>0.42700000000000005</v>
      </c>
      <c r="T23" s="19">
        <v>3</v>
      </c>
      <c r="U23" s="23">
        <v>0.4</v>
      </c>
      <c r="V23" s="19">
        <v>4</v>
      </c>
      <c r="W23" s="35">
        <v>1</v>
      </c>
      <c r="X23" s="19">
        <v>1</v>
      </c>
      <c r="Y23" s="26">
        <f>G23*0.15</f>
        <v>52.8</v>
      </c>
      <c r="Z23" s="19">
        <v>5</v>
      </c>
      <c r="AA23" s="30">
        <f t="shared" si="2"/>
        <v>3.8333333333333335</v>
      </c>
      <c r="AB23" s="19"/>
      <c r="AC23" s="27">
        <f t="shared" si="0"/>
        <v>3.416666666666667</v>
      </c>
      <c r="AD23" s="19" t="str">
        <f t="shared" si="20"/>
        <v>MEDIUM HIGH</v>
      </c>
      <c r="AE23" s="28" t="s">
        <v>95</v>
      </c>
      <c r="AF23" s="29">
        <v>4</v>
      </c>
      <c r="AG23" s="28" t="s">
        <v>115</v>
      </c>
      <c r="AH23" s="19"/>
      <c r="AI23" s="28" t="s">
        <v>116</v>
      </c>
      <c r="AJ23" s="19">
        <v>3</v>
      </c>
      <c r="AK23" s="28" t="s">
        <v>68</v>
      </c>
      <c r="AL23" s="19">
        <v>3</v>
      </c>
      <c r="AM23" s="28" t="s">
        <v>69</v>
      </c>
      <c r="AN23" s="19">
        <v>3</v>
      </c>
      <c r="AO23" s="28" t="s">
        <v>70</v>
      </c>
      <c r="AP23" s="28">
        <v>3</v>
      </c>
      <c r="AQ23" s="30">
        <f t="shared" ref="AQ23" si="42">(AF23+AH23+AJ23+AL23+AN23+AP23)/6</f>
        <v>2.6666666666666665</v>
      </c>
      <c r="AR23" s="19"/>
      <c r="AS23" s="27">
        <f t="shared" ref="AS23" si="43">AC23/AQ23</f>
        <v>1.2812500000000002</v>
      </c>
      <c r="AT23" s="27" t="str">
        <f t="shared" ref="AT23" si="44">IF(AS23&lt;=1,"LOW", IF(AS23&lt;=2,"MEDIUM LOW", IF(AS23&lt;=3,"MEDIUM", IF(AS23&lt;=4,"MEDIUM HIGH", "HIGH"))))</f>
        <v>MEDIUM LOW</v>
      </c>
      <c r="AU23" s="31">
        <v>3</v>
      </c>
      <c r="AV23" s="27">
        <f t="shared" si="1"/>
        <v>12</v>
      </c>
      <c r="AW23" s="19" t="str">
        <f t="shared" si="7"/>
        <v>HIGH RISK</v>
      </c>
    </row>
    <row r="24" spans="1:49" ht="195">
      <c r="A24" s="19"/>
      <c r="B24" s="19" t="s">
        <v>211</v>
      </c>
      <c r="C24" s="19">
        <v>4</v>
      </c>
      <c r="D24" s="19" t="str">
        <f>'[2]3.1.1 Crop'!D58</f>
        <v>Slight</v>
      </c>
      <c r="E24" s="19" t="s">
        <v>81</v>
      </c>
      <c r="F24" s="20" t="s">
        <v>117</v>
      </c>
      <c r="G24" s="19">
        <f>[1]Sheet1!$I$57</f>
        <v>700</v>
      </c>
      <c r="H24" s="19">
        <v>783.81659999999999</v>
      </c>
      <c r="I24" s="21" t="s">
        <v>187</v>
      </c>
      <c r="J24" s="22">
        <v>6500000</v>
      </c>
      <c r="K24" s="19">
        <v>639.79899999999998</v>
      </c>
      <c r="L24" s="23">
        <v>0.81626109985422612</v>
      </c>
      <c r="M24" s="19">
        <v>5</v>
      </c>
      <c r="N24" s="19"/>
      <c r="O24" s="37">
        <v>0.53847703464947627</v>
      </c>
      <c r="P24" s="19">
        <v>5</v>
      </c>
      <c r="Q24" s="23">
        <v>0.55000000000000004</v>
      </c>
      <c r="R24" s="19">
        <v>5</v>
      </c>
      <c r="S24" s="35">
        <f>1-0.657</f>
        <v>0.34299999999999997</v>
      </c>
      <c r="T24" s="19">
        <v>2</v>
      </c>
      <c r="U24" s="23">
        <v>0.44</v>
      </c>
      <c r="V24" s="19">
        <v>4</v>
      </c>
      <c r="W24" s="35">
        <v>1</v>
      </c>
      <c r="X24" s="19">
        <v>1</v>
      </c>
      <c r="Y24" s="26">
        <f>G24*0.07</f>
        <v>49.000000000000007</v>
      </c>
      <c r="Z24" s="19">
        <v>4</v>
      </c>
      <c r="AA24" s="30">
        <f t="shared" si="2"/>
        <v>3.5</v>
      </c>
      <c r="AB24" s="19"/>
      <c r="AC24" s="27">
        <f t="shared" si="0"/>
        <v>4.25</v>
      </c>
      <c r="AD24" s="19" t="str">
        <f t="shared" si="20"/>
        <v>HIGH</v>
      </c>
      <c r="AE24" s="28" t="s">
        <v>65</v>
      </c>
      <c r="AF24" s="29">
        <v>3</v>
      </c>
      <c r="AG24" s="28" t="s">
        <v>87</v>
      </c>
      <c r="AH24" s="19">
        <v>3</v>
      </c>
      <c r="AI24" s="28" t="s">
        <v>118</v>
      </c>
      <c r="AJ24" s="19">
        <v>3</v>
      </c>
      <c r="AK24" s="28" t="s">
        <v>68</v>
      </c>
      <c r="AL24" s="19">
        <v>3</v>
      </c>
      <c r="AM24" s="28" t="s">
        <v>69</v>
      </c>
      <c r="AN24" s="19">
        <v>3</v>
      </c>
      <c r="AO24" s="28" t="s">
        <v>70</v>
      </c>
      <c r="AP24" s="28">
        <v>3</v>
      </c>
      <c r="AQ24" s="30">
        <f t="shared" ref="AQ24" si="45">(AF24+AH24+AJ24+AL24+AN24+AP24)/6</f>
        <v>3</v>
      </c>
      <c r="AR24" s="19"/>
      <c r="AS24" s="27">
        <f t="shared" ref="AS24" si="46">AC24/AQ24</f>
        <v>1.4166666666666667</v>
      </c>
      <c r="AT24" s="27" t="str">
        <f t="shared" ref="AT24" si="47">IF(AS24&lt;=1,"LOW", IF(AS24&lt;=2,"MEDIUM LOW", IF(AS24&lt;=3,"MEDIUM", IF(AS24&lt;=4,"MEDIUM HIGH", "HIGH"))))</f>
        <v>MEDIUM LOW</v>
      </c>
      <c r="AU24" s="31">
        <v>4</v>
      </c>
      <c r="AV24" s="27">
        <f t="shared" si="1"/>
        <v>16</v>
      </c>
      <c r="AW24" s="19" t="str">
        <f t="shared" si="7"/>
        <v>VERY HIGH RISK</v>
      </c>
    </row>
    <row r="25" spans="1:49" ht="225">
      <c r="A25" s="19"/>
      <c r="B25" s="19" t="s">
        <v>211</v>
      </c>
      <c r="C25" s="19">
        <v>4</v>
      </c>
      <c r="D25" s="19" t="str">
        <f>'[2]3.1.1 Crop'!D62</f>
        <v>Slight</v>
      </c>
      <c r="E25" s="19" t="s">
        <v>81</v>
      </c>
      <c r="F25" s="20" t="s">
        <v>119</v>
      </c>
      <c r="G25" s="19">
        <f>[1]Sheet1!$I$61</f>
        <v>350</v>
      </c>
      <c r="H25" s="19">
        <v>511.495</v>
      </c>
      <c r="I25" s="21" t="s">
        <v>92</v>
      </c>
      <c r="J25" s="22">
        <v>26500000</v>
      </c>
      <c r="K25" s="19">
        <v>329.82569999999998</v>
      </c>
      <c r="L25" s="23">
        <v>0.6448268311518196</v>
      </c>
      <c r="M25" s="19">
        <v>5</v>
      </c>
      <c r="N25" s="19"/>
      <c r="O25" s="37">
        <v>0.44053464266230224</v>
      </c>
      <c r="P25" s="19">
        <v>4</v>
      </c>
      <c r="Q25" s="23">
        <v>0.55000000000000004</v>
      </c>
      <c r="R25" s="19">
        <v>5</v>
      </c>
      <c r="S25" s="35">
        <f>1-0.765</f>
        <v>0.23499999999999999</v>
      </c>
      <c r="T25" s="19">
        <v>2</v>
      </c>
      <c r="U25" s="23">
        <v>0.67</v>
      </c>
      <c r="V25" s="19">
        <v>5</v>
      </c>
      <c r="W25" s="35">
        <f>1-13.9388979814512%</f>
        <v>0.86061102018548796</v>
      </c>
      <c r="X25" s="19">
        <v>1</v>
      </c>
      <c r="Y25" s="26">
        <f>G25*0.06</f>
        <v>21</v>
      </c>
      <c r="Z25" s="19">
        <v>2</v>
      </c>
      <c r="AA25" s="30">
        <f t="shared" si="2"/>
        <v>3.1666666666666665</v>
      </c>
      <c r="AB25" s="19"/>
      <c r="AC25" s="27">
        <f t="shared" si="0"/>
        <v>4.083333333333333</v>
      </c>
      <c r="AD25" s="19" t="str">
        <f t="shared" si="20"/>
        <v>HIGH</v>
      </c>
      <c r="AE25" s="28" t="s">
        <v>65</v>
      </c>
      <c r="AF25" s="29">
        <v>3</v>
      </c>
      <c r="AG25" s="28" t="s">
        <v>87</v>
      </c>
      <c r="AH25" s="19">
        <v>3</v>
      </c>
      <c r="AI25" s="28" t="s">
        <v>120</v>
      </c>
      <c r="AJ25" s="19">
        <v>3</v>
      </c>
      <c r="AK25" s="28" t="s">
        <v>68</v>
      </c>
      <c r="AL25" s="19">
        <v>3</v>
      </c>
      <c r="AM25" s="28" t="s">
        <v>69</v>
      </c>
      <c r="AN25" s="19">
        <v>3</v>
      </c>
      <c r="AO25" s="28" t="s">
        <v>70</v>
      </c>
      <c r="AP25" s="28">
        <v>3</v>
      </c>
      <c r="AQ25" s="30">
        <f t="shared" ref="AQ25" si="48">(AF25+AH25+AJ25+AL25+AN25+AP25)/6</f>
        <v>3</v>
      </c>
      <c r="AR25" s="19"/>
      <c r="AS25" s="27">
        <f t="shared" ref="AS25" si="49">AC25/AQ25</f>
        <v>1.3611111111111109</v>
      </c>
      <c r="AT25" s="27" t="str">
        <f t="shared" ref="AT25" si="50">IF(AS25&lt;=1,"LOW", IF(AS25&lt;=2,"MEDIUM LOW", IF(AS25&lt;=3,"MEDIUM", IF(AS25&lt;=4,"MEDIUM HIGH", "HIGH"))))</f>
        <v>MEDIUM LOW</v>
      </c>
      <c r="AU25" s="31">
        <v>4</v>
      </c>
      <c r="AV25" s="27">
        <f t="shared" si="1"/>
        <v>16</v>
      </c>
      <c r="AW25" s="19" t="str">
        <f t="shared" si="7"/>
        <v>VERY HIGH RISK</v>
      </c>
    </row>
    <row r="26" spans="1:49" ht="165">
      <c r="A26" s="19"/>
      <c r="B26" s="19" t="s">
        <v>211</v>
      </c>
      <c r="C26" s="19">
        <v>4</v>
      </c>
      <c r="D26" s="19" t="str">
        <f>'[2]3.1.1 Crop'!D63</f>
        <v>Slight</v>
      </c>
      <c r="E26" s="19" t="s">
        <v>78</v>
      </c>
      <c r="F26" s="20" t="s">
        <v>121</v>
      </c>
      <c r="G26" s="19">
        <f>[1]Sheet1!$I$62</f>
        <v>680</v>
      </c>
      <c r="H26" s="19">
        <v>1021.4001000000001</v>
      </c>
      <c r="I26" s="21" t="s">
        <v>188</v>
      </c>
      <c r="J26" s="22">
        <v>970000</v>
      </c>
      <c r="K26" s="19">
        <v>102.23089999999999</v>
      </c>
      <c r="L26" s="23">
        <v>0.10008898569718172</v>
      </c>
      <c r="M26" s="19">
        <v>2</v>
      </c>
      <c r="N26" s="19"/>
      <c r="O26" s="37">
        <v>0.61360832011281508</v>
      </c>
      <c r="P26" s="19">
        <v>5</v>
      </c>
      <c r="Q26" s="39">
        <v>0.55000000000000004</v>
      </c>
      <c r="R26" s="19">
        <v>5</v>
      </c>
      <c r="S26" s="35">
        <v>0.39</v>
      </c>
      <c r="T26" s="19">
        <v>3</v>
      </c>
      <c r="U26" s="23">
        <v>0.46</v>
      </c>
      <c r="V26" s="19">
        <v>4</v>
      </c>
      <c r="W26" s="35">
        <v>1</v>
      </c>
      <c r="X26" s="19">
        <v>1</v>
      </c>
      <c r="Y26" s="26">
        <f>G26*0.1</f>
        <v>68</v>
      </c>
      <c r="Z26" s="19">
        <v>5</v>
      </c>
      <c r="AA26" s="30">
        <f t="shared" si="2"/>
        <v>3.8333333333333335</v>
      </c>
      <c r="AB26" s="19"/>
      <c r="AC26" s="27">
        <f t="shared" si="0"/>
        <v>2.916666666666667</v>
      </c>
      <c r="AD26" s="19" t="str">
        <f t="shared" si="20"/>
        <v>MEDIUM</v>
      </c>
      <c r="AE26" s="28" t="s">
        <v>95</v>
      </c>
      <c r="AF26" s="29">
        <v>4</v>
      </c>
      <c r="AG26" s="28" t="s">
        <v>122</v>
      </c>
      <c r="AH26" s="19">
        <v>2</v>
      </c>
      <c r="AI26" s="28" t="s">
        <v>103</v>
      </c>
      <c r="AJ26" s="19">
        <v>3</v>
      </c>
      <c r="AK26" s="28" t="s">
        <v>68</v>
      </c>
      <c r="AL26" s="19">
        <v>3</v>
      </c>
      <c r="AM26" s="28" t="s">
        <v>69</v>
      </c>
      <c r="AN26" s="19">
        <v>3</v>
      </c>
      <c r="AO26" s="28" t="s">
        <v>70</v>
      </c>
      <c r="AP26" s="28">
        <v>3</v>
      </c>
      <c r="AQ26" s="30">
        <f t="shared" ref="AQ26" si="51">(AF26+AH26+AJ26+AL26+AN26+AP26)/6</f>
        <v>3</v>
      </c>
      <c r="AR26" s="19"/>
      <c r="AS26" s="27">
        <f t="shared" ref="AS26" si="52">AC26/AQ26</f>
        <v>0.97222222222222232</v>
      </c>
      <c r="AT26" s="27" t="str">
        <f t="shared" ref="AT26" si="53">IF(AS26&lt;=1,"LOW", IF(AS26&lt;=2,"MEDIUM LOW", IF(AS26&lt;=3,"MEDIUM", IF(AS26&lt;=4,"MEDIUM HIGH", "HIGH"))))</f>
        <v>LOW</v>
      </c>
      <c r="AU26" s="31">
        <v>2</v>
      </c>
      <c r="AV26" s="27">
        <f t="shared" si="1"/>
        <v>8</v>
      </c>
      <c r="AW26" s="19" t="str">
        <f t="shared" si="7"/>
        <v>MODERATE RISK</v>
      </c>
    </row>
  </sheetData>
  <mergeCells count="20">
    <mergeCell ref="A3:A4"/>
    <mergeCell ref="B3:D3"/>
    <mergeCell ref="E3:M3"/>
    <mergeCell ref="N3:N4"/>
    <mergeCell ref="O3:AA3"/>
    <mergeCell ref="AV3:AV4"/>
    <mergeCell ref="AW3:AW4"/>
    <mergeCell ref="O4:P4"/>
    <mergeCell ref="Q4:R4"/>
    <mergeCell ref="S4:T4"/>
    <mergeCell ref="U4:V4"/>
    <mergeCell ref="W4:X4"/>
    <mergeCell ref="Y4:Z4"/>
    <mergeCell ref="AC3:AD4"/>
    <mergeCell ref="AE3:AQ3"/>
    <mergeCell ref="AR3:AR4"/>
    <mergeCell ref="AS3:AS4"/>
    <mergeCell ref="AT3:AT4"/>
    <mergeCell ref="AU3:AU4"/>
    <mergeCell ref="AB3:AB4"/>
  </mergeCells>
  <conditionalFormatting sqref="AT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7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7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8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8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3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3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5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7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L6">
      <formula1>100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A3" sqref="A3"/>
    </sheetView>
  </sheetViews>
  <sheetFormatPr defaultRowHeight="15"/>
  <cols>
    <col min="1" max="1" width="13.140625" bestFit="1" customWidth="1"/>
    <col min="2" max="2" width="28.42578125" bestFit="1" customWidth="1"/>
    <col min="3" max="3" width="20.140625" bestFit="1" customWidth="1"/>
  </cols>
  <sheetData>
    <row r="3" spans="1:3">
      <c r="A3" s="46" t="s">
        <v>174</v>
      </c>
      <c r="B3" t="s">
        <v>216</v>
      </c>
      <c r="C3" t="s">
        <v>208</v>
      </c>
    </row>
    <row r="4" spans="1:3">
      <c r="A4" s="47" t="s">
        <v>62</v>
      </c>
      <c r="B4" s="48">
        <v>1.2491003148897886</v>
      </c>
      <c r="C4" s="48">
        <v>14.050680543315567</v>
      </c>
    </row>
    <row r="5" spans="1:3">
      <c r="A5" s="47" t="s">
        <v>78</v>
      </c>
      <c r="B5" s="48">
        <v>1.0094618055555555</v>
      </c>
      <c r="C5" s="48">
        <v>9.3130213386905716</v>
      </c>
    </row>
    <row r="6" spans="1:3">
      <c r="A6" s="47" t="s">
        <v>175</v>
      </c>
      <c r="B6" s="48">
        <v>1.1578094541910333</v>
      </c>
      <c r="C6" s="48">
        <v>12.245857989172713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"/>
  <sheetViews>
    <sheetView workbookViewId="0">
      <selection activeCell="AJ10" sqref="AJ10"/>
    </sheetView>
  </sheetViews>
  <sheetFormatPr defaultRowHeight="15"/>
  <sheetData>
    <row r="1" spans="1:50" s="40" customFormat="1" ht="152.25" customHeight="1">
      <c r="A1" s="80" t="s">
        <v>133</v>
      </c>
      <c r="B1" s="45" t="s">
        <v>134</v>
      </c>
      <c r="C1" s="41" t="s">
        <v>15</v>
      </c>
      <c r="D1" s="41" t="s">
        <v>16</v>
      </c>
      <c r="E1" s="41" t="s">
        <v>17</v>
      </c>
      <c r="F1" s="41" t="s">
        <v>18</v>
      </c>
      <c r="G1" s="42" t="s">
        <v>19</v>
      </c>
      <c r="H1" s="41" t="s">
        <v>20</v>
      </c>
      <c r="I1" s="41" t="s">
        <v>21</v>
      </c>
      <c r="J1" s="41" t="s">
        <v>22</v>
      </c>
      <c r="K1" s="43" t="s">
        <v>23</v>
      </c>
      <c r="L1" s="41" t="s">
        <v>24</v>
      </c>
      <c r="M1" s="44" t="s">
        <v>25</v>
      </c>
      <c r="N1" s="41" t="s">
        <v>26</v>
      </c>
      <c r="O1" s="45" t="s">
        <v>4</v>
      </c>
      <c r="P1" s="45" t="s">
        <v>135</v>
      </c>
      <c r="Q1" s="45" t="s">
        <v>136</v>
      </c>
      <c r="R1" s="45" t="s">
        <v>137</v>
      </c>
      <c r="S1" s="45" t="s">
        <v>138</v>
      </c>
      <c r="T1" s="45" t="s">
        <v>139</v>
      </c>
      <c r="U1" s="45" t="s">
        <v>140</v>
      </c>
      <c r="V1" s="45" t="s">
        <v>141</v>
      </c>
      <c r="W1" s="45" t="s">
        <v>142</v>
      </c>
      <c r="X1" s="45" t="s">
        <v>143</v>
      </c>
      <c r="Y1" s="45" t="s">
        <v>144</v>
      </c>
      <c r="Z1" s="45" t="s">
        <v>145</v>
      </c>
      <c r="AA1" s="45" t="s">
        <v>146</v>
      </c>
      <c r="AB1" s="41" t="s">
        <v>205</v>
      </c>
      <c r="AC1" s="45" t="s">
        <v>6</v>
      </c>
      <c r="AD1" s="45" t="s">
        <v>7</v>
      </c>
      <c r="AE1" s="41" t="s">
        <v>53</v>
      </c>
      <c r="AF1" s="41" t="s">
        <v>147</v>
      </c>
      <c r="AG1" s="41" t="s">
        <v>148</v>
      </c>
      <c r="AH1" s="41" t="s">
        <v>150</v>
      </c>
      <c r="AI1" s="41" t="s">
        <v>149</v>
      </c>
      <c r="AJ1" s="41" t="s">
        <v>151</v>
      </c>
      <c r="AK1" s="41" t="s">
        <v>152</v>
      </c>
      <c r="AL1" s="41" t="s">
        <v>153</v>
      </c>
      <c r="AM1" s="41" t="s">
        <v>154</v>
      </c>
      <c r="AN1" s="41" t="s">
        <v>155</v>
      </c>
      <c r="AO1" s="41" t="s">
        <v>156</v>
      </c>
      <c r="AP1" s="41" t="s">
        <v>157</v>
      </c>
      <c r="AQ1" s="41" t="s">
        <v>158</v>
      </c>
      <c r="AR1" s="41" t="s">
        <v>159</v>
      </c>
      <c r="AS1" s="45" t="s">
        <v>9</v>
      </c>
      <c r="AT1" s="45" t="s">
        <v>10</v>
      </c>
      <c r="AU1" s="45" t="s">
        <v>11</v>
      </c>
      <c r="AV1" s="45" t="s">
        <v>12</v>
      </c>
      <c r="AW1" s="81" t="s">
        <v>13</v>
      </c>
      <c r="AX1" s="45" t="s">
        <v>14</v>
      </c>
    </row>
    <row r="2" spans="1:50" ht="45">
      <c r="A2" s="82" t="s">
        <v>160</v>
      </c>
      <c r="B2" s="82" t="s">
        <v>161</v>
      </c>
      <c r="C2" s="82" t="s">
        <v>211</v>
      </c>
      <c r="D2" s="82">
        <v>4</v>
      </c>
      <c r="E2" s="82" t="s">
        <v>212</v>
      </c>
      <c r="F2" s="82" t="s">
        <v>62</v>
      </c>
      <c r="G2" s="82" t="s">
        <v>63</v>
      </c>
      <c r="H2" s="82">
        <v>30</v>
      </c>
      <c r="I2" s="82">
        <v>354.8775</v>
      </c>
      <c r="J2" s="82" t="s">
        <v>64</v>
      </c>
      <c r="K2" s="82">
        <v>750000</v>
      </c>
      <c r="L2" s="82">
        <v>338.19877000000002</v>
      </c>
      <c r="M2" s="82">
        <v>0.95300144416030896</v>
      </c>
      <c r="N2" s="82">
        <v>5</v>
      </c>
      <c r="O2" s="82"/>
      <c r="P2" s="82">
        <v>0.30831226295828068</v>
      </c>
      <c r="Q2" s="82">
        <v>3</v>
      </c>
      <c r="R2" s="82">
        <v>0.44999999999999996</v>
      </c>
      <c r="S2" s="82">
        <v>4</v>
      </c>
      <c r="T2" s="82">
        <v>0.24</v>
      </c>
      <c r="U2" s="82">
        <v>1</v>
      </c>
      <c r="V2" s="82">
        <v>0.7</v>
      </c>
      <c r="W2" s="82">
        <v>5</v>
      </c>
      <c r="X2" s="82">
        <v>0.76296355117922698</v>
      </c>
      <c r="Y2" s="82">
        <v>2</v>
      </c>
      <c r="Z2" s="82">
        <v>6</v>
      </c>
      <c r="AA2" s="82">
        <v>1</v>
      </c>
      <c r="AB2" s="82">
        <v>2.6666666666666665</v>
      </c>
      <c r="AC2" s="82"/>
      <c r="AD2" s="82">
        <v>3.833333333333333</v>
      </c>
      <c r="AE2" s="82" t="s">
        <v>124</v>
      </c>
      <c r="AF2" s="82" t="s">
        <v>65</v>
      </c>
      <c r="AG2" s="82">
        <v>3</v>
      </c>
      <c r="AH2" s="82" t="s">
        <v>66</v>
      </c>
      <c r="AI2" s="82">
        <v>3</v>
      </c>
      <c r="AJ2" s="82" t="s">
        <v>67</v>
      </c>
      <c r="AK2" s="82">
        <v>3</v>
      </c>
      <c r="AL2" s="82" t="s">
        <v>68</v>
      </c>
      <c r="AM2" s="82">
        <v>4</v>
      </c>
      <c r="AN2" s="82" t="s">
        <v>69</v>
      </c>
      <c r="AO2" s="82">
        <v>3</v>
      </c>
      <c r="AP2" s="82" t="s">
        <v>70</v>
      </c>
      <c r="AQ2" s="82">
        <v>3</v>
      </c>
      <c r="AR2" s="82">
        <v>3.1666666666666665</v>
      </c>
      <c r="AS2" s="82"/>
      <c r="AT2" s="82">
        <v>1.2105263157894737</v>
      </c>
      <c r="AU2" s="82" t="s">
        <v>125</v>
      </c>
      <c r="AV2" s="82">
        <v>4</v>
      </c>
      <c r="AW2" s="82">
        <v>16</v>
      </c>
      <c r="AX2" s="140" t="s">
        <v>220</v>
      </c>
    </row>
    <row r="3" spans="1:50" ht="45">
      <c r="A3" s="82" t="s">
        <v>160</v>
      </c>
      <c r="B3" s="82" t="s">
        <v>161</v>
      </c>
      <c r="C3" s="82" t="s">
        <v>211</v>
      </c>
      <c r="D3" s="82">
        <v>4</v>
      </c>
      <c r="E3" s="82" t="s">
        <v>212</v>
      </c>
      <c r="F3" s="82" t="s">
        <v>62</v>
      </c>
      <c r="G3" s="82" t="s">
        <v>71</v>
      </c>
      <c r="H3" s="82">
        <v>150</v>
      </c>
      <c r="I3" s="82">
        <v>445.28899999999999</v>
      </c>
      <c r="J3" s="82" t="s">
        <v>72</v>
      </c>
      <c r="K3" s="82">
        <v>2700000</v>
      </c>
      <c r="L3" s="82">
        <v>296.142</v>
      </c>
      <c r="M3" s="82">
        <v>0.66505572785314704</v>
      </c>
      <c r="N3" s="82">
        <v>5</v>
      </c>
      <c r="O3" s="82"/>
      <c r="P3" s="82">
        <v>0.61986206896551721</v>
      </c>
      <c r="Q3" s="82">
        <v>5</v>
      </c>
      <c r="R3" s="82">
        <v>0.30000000000000004</v>
      </c>
      <c r="S3" s="82">
        <v>3</v>
      </c>
      <c r="T3" s="82">
        <v>0.38</v>
      </c>
      <c r="U3" s="82">
        <v>2</v>
      </c>
      <c r="V3" s="82">
        <v>0.82079054277109897</v>
      </c>
      <c r="W3" s="82">
        <v>5</v>
      </c>
      <c r="X3" s="82">
        <v>0.82948798988621997</v>
      </c>
      <c r="Y3" s="82">
        <v>1</v>
      </c>
      <c r="Z3" s="82">
        <v>30</v>
      </c>
      <c r="AA3" s="82">
        <v>2</v>
      </c>
      <c r="AB3" s="82">
        <v>3</v>
      </c>
      <c r="AC3" s="82"/>
      <c r="AD3" s="82">
        <v>4</v>
      </c>
      <c r="AE3" s="82" t="s">
        <v>124</v>
      </c>
      <c r="AF3" s="82" t="s">
        <v>65</v>
      </c>
      <c r="AG3" s="82">
        <v>3</v>
      </c>
      <c r="AH3" s="82" t="s">
        <v>73</v>
      </c>
      <c r="AI3" s="82">
        <v>3</v>
      </c>
      <c r="AJ3" s="82" t="s">
        <v>74</v>
      </c>
      <c r="AK3" s="82">
        <v>3</v>
      </c>
      <c r="AL3" s="82" t="s">
        <v>68</v>
      </c>
      <c r="AM3" s="82">
        <v>3</v>
      </c>
      <c r="AN3" s="82" t="s">
        <v>69</v>
      </c>
      <c r="AO3" s="82">
        <v>3</v>
      </c>
      <c r="AP3" s="82" t="s">
        <v>70</v>
      </c>
      <c r="AQ3" s="82">
        <v>3</v>
      </c>
      <c r="AR3" s="82">
        <v>3</v>
      </c>
      <c r="AS3" s="82"/>
      <c r="AT3" s="82">
        <v>1.3333333333333333</v>
      </c>
      <c r="AU3" s="82" t="s">
        <v>125</v>
      </c>
      <c r="AV3" s="82">
        <v>4</v>
      </c>
      <c r="AW3" s="82">
        <v>16</v>
      </c>
      <c r="AX3" s="140" t="s">
        <v>220</v>
      </c>
    </row>
    <row r="4" spans="1:50" ht="30">
      <c r="A4" s="82" t="s">
        <v>160</v>
      </c>
      <c r="B4" s="82" t="s">
        <v>161</v>
      </c>
      <c r="C4" s="82" t="s">
        <v>211</v>
      </c>
      <c r="D4" s="82">
        <v>4</v>
      </c>
      <c r="E4" s="82" t="s">
        <v>127</v>
      </c>
      <c r="F4" s="82" t="s">
        <v>62</v>
      </c>
      <c r="G4" s="82" t="s">
        <v>75</v>
      </c>
      <c r="H4" s="82">
        <v>210</v>
      </c>
      <c r="I4" s="82">
        <v>831.52300000000002</v>
      </c>
      <c r="J4" s="82" t="s">
        <v>189</v>
      </c>
      <c r="K4" s="82">
        <v>3150000</v>
      </c>
      <c r="L4" s="82">
        <v>435.88150000000002</v>
      </c>
      <c r="M4" s="82">
        <v>0.52419656461697395</v>
      </c>
      <c r="N4" s="82">
        <v>5</v>
      </c>
      <c r="O4" s="82"/>
      <c r="P4" s="82">
        <v>0.48387755102040814</v>
      </c>
      <c r="Q4" s="82">
        <v>4</v>
      </c>
      <c r="R4" s="82">
        <v>0.19999999999999996</v>
      </c>
      <c r="S4" s="82">
        <v>3</v>
      </c>
      <c r="T4" s="82">
        <v>0.19999999999999996</v>
      </c>
      <c r="U4" s="82">
        <v>1</v>
      </c>
      <c r="V4" s="82">
        <v>0.89</v>
      </c>
      <c r="W4" s="82">
        <v>5</v>
      </c>
      <c r="X4" s="82">
        <v>0.73424584481379407</v>
      </c>
      <c r="Y4" s="82">
        <v>2</v>
      </c>
      <c r="Z4" s="82">
        <v>10.5</v>
      </c>
      <c r="AA4" s="82">
        <v>1</v>
      </c>
      <c r="AB4" s="82">
        <v>2.6666666666666665</v>
      </c>
      <c r="AC4" s="82"/>
      <c r="AD4" s="82">
        <v>3.833333333333333</v>
      </c>
      <c r="AE4" s="82" t="s">
        <v>124</v>
      </c>
      <c r="AF4" s="82" t="s">
        <v>65</v>
      </c>
      <c r="AG4" s="82">
        <v>3</v>
      </c>
      <c r="AH4" s="82" t="s">
        <v>76</v>
      </c>
      <c r="AI4" s="82">
        <v>3</v>
      </c>
      <c r="AJ4" s="82" t="s">
        <v>77</v>
      </c>
      <c r="AK4" s="82">
        <v>3</v>
      </c>
      <c r="AL4" s="82" t="s">
        <v>68</v>
      </c>
      <c r="AM4" s="82">
        <v>3</v>
      </c>
      <c r="AN4" s="82" t="s">
        <v>69</v>
      </c>
      <c r="AO4" s="82">
        <v>3</v>
      </c>
      <c r="AP4" s="82" t="s">
        <v>70</v>
      </c>
      <c r="AQ4" s="82">
        <v>3</v>
      </c>
      <c r="AR4" s="82">
        <v>3</v>
      </c>
      <c r="AS4" s="82"/>
      <c r="AT4" s="82">
        <v>1.2777777777777777</v>
      </c>
      <c r="AU4" s="82" t="s">
        <v>125</v>
      </c>
      <c r="AV4" s="82">
        <v>3</v>
      </c>
      <c r="AW4" s="82">
        <v>12</v>
      </c>
      <c r="AX4" s="140" t="s">
        <v>128</v>
      </c>
    </row>
    <row r="5" spans="1:50" ht="30">
      <c r="A5" s="82" t="s">
        <v>160</v>
      </c>
      <c r="B5" s="82" t="s">
        <v>161</v>
      </c>
      <c r="C5" s="82" t="s">
        <v>211</v>
      </c>
      <c r="D5" s="82">
        <v>4</v>
      </c>
      <c r="E5" s="82" t="s">
        <v>126</v>
      </c>
      <c r="F5" s="82" t="s">
        <v>78</v>
      </c>
      <c r="G5" s="82" t="s">
        <v>79</v>
      </c>
      <c r="H5" s="82">
        <v>400</v>
      </c>
      <c r="I5" s="82">
        <v>761.83199999999999</v>
      </c>
      <c r="J5" s="82" t="s">
        <v>72</v>
      </c>
      <c r="K5" s="82">
        <v>1908000</v>
      </c>
      <c r="L5" s="82">
        <v>333.4572</v>
      </c>
      <c r="M5" s="82">
        <v>0.43770437576788584</v>
      </c>
      <c r="N5" s="82">
        <v>4</v>
      </c>
      <c r="O5" s="82"/>
      <c r="P5" s="82">
        <v>0.53782851075126092</v>
      </c>
      <c r="Q5" s="82">
        <v>5</v>
      </c>
      <c r="R5" s="82">
        <v>0.44999999999999996</v>
      </c>
      <c r="S5" s="82">
        <v>4</v>
      </c>
      <c r="T5" s="82">
        <v>0.32999999999999996</v>
      </c>
      <c r="U5" s="82">
        <v>2</v>
      </c>
      <c r="V5" s="82">
        <v>0.87</v>
      </c>
      <c r="W5" s="82">
        <v>5</v>
      </c>
      <c r="X5" s="82">
        <v>0.89571428571428602</v>
      </c>
      <c r="Y5" s="82">
        <v>1</v>
      </c>
      <c r="Z5" s="82">
        <v>20</v>
      </c>
      <c r="AA5" s="82">
        <v>2</v>
      </c>
      <c r="AB5" s="82">
        <v>3.1666666666666665</v>
      </c>
      <c r="AC5" s="82"/>
      <c r="AD5" s="82">
        <v>3.583333333333333</v>
      </c>
      <c r="AE5" s="82" t="s">
        <v>124</v>
      </c>
      <c r="AF5" s="82" t="s">
        <v>65</v>
      </c>
      <c r="AG5" s="82">
        <v>3</v>
      </c>
      <c r="AH5" s="82" t="s">
        <v>66</v>
      </c>
      <c r="AI5" s="82">
        <v>3</v>
      </c>
      <c r="AJ5" s="82" t="s">
        <v>80</v>
      </c>
      <c r="AK5" s="82">
        <v>3</v>
      </c>
      <c r="AL5" s="82" t="s">
        <v>68</v>
      </c>
      <c r="AM5" s="82">
        <v>3</v>
      </c>
      <c r="AN5" s="82" t="s">
        <v>69</v>
      </c>
      <c r="AO5" s="82">
        <v>3</v>
      </c>
      <c r="AP5" s="82" t="s">
        <v>70</v>
      </c>
      <c r="AQ5" s="82">
        <v>3</v>
      </c>
      <c r="AR5" s="82">
        <v>3</v>
      </c>
      <c r="AS5" s="82"/>
      <c r="AT5" s="82">
        <v>1.1944444444444444</v>
      </c>
      <c r="AU5" s="82" t="s">
        <v>125</v>
      </c>
      <c r="AV5" s="82">
        <v>3</v>
      </c>
      <c r="AW5" s="82">
        <v>12</v>
      </c>
      <c r="AX5" s="140" t="s">
        <v>128</v>
      </c>
    </row>
    <row r="6" spans="1:50" ht="30">
      <c r="A6" s="82" t="s">
        <v>160</v>
      </c>
      <c r="B6" s="82" t="s">
        <v>161</v>
      </c>
      <c r="C6" s="82" t="s">
        <v>211</v>
      </c>
      <c r="D6" s="82">
        <v>4</v>
      </c>
      <c r="E6" s="82" t="s">
        <v>126</v>
      </c>
      <c r="F6" s="82" t="s">
        <v>81</v>
      </c>
      <c r="G6" s="82" t="s">
        <v>82</v>
      </c>
      <c r="H6" s="82">
        <v>496</v>
      </c>
      <c r="I6" s="82">
        <v>802.99800000000005</v>
      </c>
      <c r="J6" s="82" t="s">
        <v>83</v>
      </c>
      <c r="K6" s="82">
        <v>610000</v>
      </c>
      <c r="L6" s="82">
        <v>420.012</v>
      </c>
      <c r="M6" s="82">
        <v>0.52305485194234602</v>
      </c>
      <c r="N6" s="82">
        <v>5</v>
      </c>
      <c r="O6" s="82"/>
      <c r="P6" s="82">
        <v>0.38272744048717477</v>
      </c>
      <c r="Q6" s="82">
        <v>3</v>
      </c>
      <c r="R6" s="82">
        <v>0.44999999999999996</v>
      </c>
      <c r="S6" s="82">
        <v>4</v>
      </c>
      <c r="T6" s="82">
        <v>0.30000000000000004</v>
      </c>
      <c r="U6" s="82">
        <v>2</v>
      </c>
      <c r="V6" s="82">
        <v>0.79732203567132198</v>
      </c>
      <c r="W6" s="82">
        <v>5</v>
      </c>
      <c r="X6" s="82">
        <v>0.95566764003185556</v>
      </c>
      <c r="Y6" s="82">
        <v>1</v>
      </c>
      <c r="Z6" s="82">
        <v>49.6</v>
      </c>
      <c r="AA6" s="82">
        <v>3</v>
      </c>
      <c r="AB6" s="82">
        <v>3</v>
      </c>
      <c r="AC6" s="82"/>
      <c r="AD6" s="82">
        <v>4</v>
      </c>
      <c r="AE6" s="82" t="s">
        <v>124</v>
      </c>
      <c r="AF6" s="82" t="s">
        <v>65</v>
      </c>
      <c r="AG6" s="82">
        <v>3</v>
      </c>
      <c r="AH6" s="82" t="s">
        <v>66</v>
      </c>
      <c r="AI6" s="82">
        <v>3</v>
      </c>
      <c r="AJ6" s="82" t="s">
        <v>84</v>
      </c>
      <c r="AK6" s="82">
        <v>3</v>
      </c>
      <c r="AL6" s="82" t="s">
        <v>68</v>
      </c>
      <c r="AM6" s="82">
        <v>3</v>
      </c>
      <c r="AN6" s="82" t="s">
        <v>69</v>
      </c>
      <c r="AO6" s="82">
        <v>3</v>
      </c>
      <c r="AP6" s="82" t="s">
        <v>70</v>
      </c>
      <c r="AQ6" s="82">
        <v>3</v>
      </c>
      <c r="AR6" s="82">
        <v>3</v>
      </c>
      <c r="AS6" s="82"/>
      <c r="AT6" s="82">
        <v>1.3333333333333333</v>
      </c>
      <c r="AU6" s="82" t="s">
        <v>125</v>
      </c>
      <c r="AV6" s="82">
        <v>3</v>
      </c>
      <c r="AW6" s="82">
        <v>12</v>
      </c>
      <c r="AX6" s="140" t="s">
        <v>128</v>
      </c>
    </row>
    <row r="7" spans="1:50" ht="45">
      <c r="A7" s="82" t="s">
        <v>160</v>
      </c>
      <c r="B7" s="82" t="s">
        <v>161</v>
      </c>
      <c r="C7" s="82" t="s">
        <v>211</v>
      </c>
      <c r="D7" s="82">
        <v>4</v>
      </c>
      <c r="E7" s="82" t="s">
        <v>123</v>
      </c>
      <c r="F7" s="82" t="s">
        <v>78</v>
      </c>
      <c r="G7" s="82" t="s">
        <v>85</v>
      </c>
      <c r="H7" s="82">
        <v>89</v>
      </c>
      <c r="I7" s="82">
        <v>699.63199999999995</v>
      </c>
      <c r="J7" s="82" t="s">
        <v>86</v>
      </c>
      <c r="K7" s="82">
        <v>6000000</v>
      </c>
      <c r="L7" s="82">
        <v>110.88440000000001</v>
      </c>
      <c r="M7" s="82">
        <v>0.15848960596427838</v>
      </c>
      <c r="N7" s="82">
        <v>2</v>
      </c>
      <c r="O7" s="82"/>
      <c r="P7" s="82">
        <v>0.51080380293863437</v>
      </c>
      <c r="Q7" s="82">
        <v>4</v>
      </c>
      <c r="R7" s="82">
        <v>0.44999999999999996</v>
      </c>
      <c r="S7" s="82">
        <v>4</v>
      </c>
      <c r="T7" s="82">
        <v>0.25</v>
      </c>
      <c r="U7" s="82">
        <v>1</v>
      </c>
      <c r="V7" s="82">
        <v>0.64</v>
      </c>
      <c r="W7" s="82">
        <v>5</v>
      </c>
      <c r="X7" s="82">
        <v>0.95365079365079375</v>
      </c>
      <c r="Y7" s="82">
        <v>1</v>
      </c>
      <c r="Z7" s="82">
        <v>17.8</v>
      </c>
      <c r="AA7" s="82">
        <v>2</v>
      </c>
      <c r="AB7" s="82">
        <v>2.8333333333333335</v>
      </c>
      <c r="AC7" s="82"/>
      <c r="AD7" s="82">
        <v>2.416666666666667</v>
      </c>
      <c r="AE7" s="82" t="s">
        <v>129</v>
      </c>
      <c r="AF7" s="82" t="s">
        <v>65</v>
      </c>
      <c r="AG7" s="82">
        <v>3</v>
      </c>
      <c r="AH7" s="82" t="s">
        <v>87</v>
      </c>
      <c r="AI7" s="82">
        <v>3</v>
      </c>
      <c r="AJ7" s="82" t="s">
        <v>88</v>
      </c>
      <c r="AK7" s="82">
        <v>3</v>
      </c>
      <c r="AL7" s="82" t="s">
        <v>68</v>
      </c>
      <c r="AM7" s="82">
        <v>3</v>
      </c>
      <c r="AN7" s="82" t="s">
        <v>69</v>
      </c>
      <c r="AO7" s="82">
        <v>3</v>
      </c>
      <c r="AP7" s="82" t="s">
        <v>70</v>
      </c>
      <c r="AQ7" s="82">
        <v>3</v>
      </c>
      <c r="AR7" s="82">
        <v>3</v>
      </c>
      <c r="AS7" s="82"/>
      <c r="AT7" s="82">
        <v>0.80555555555555569</v>
      </c>
      <c r="AU7" s="82" t="s">
        <v>130</v>
      </c>
      <c r="AV7" s="82">
        <v>4</v>
      </c>
      <c r="AW7" s="82">
        <v>16</v>
      </c>
      <c r="AX7" s="140" t="s">
        <v>220</v>
      </c>
    </row>
    <row r="8" spans="1:50" ht="30">
      <c r="A8" s="82" t="s">
        <v>160</v>
      </c>
      <c r="B8" s="82" t="s">
        <v>161</v>
      </c>
      <c r="C8" s="82" t="s">
        <v>211</v>
      </c>
      <c r="D8" s="82">
        <v>4</v>
      </c>
      <c r="E8" s="82" t="s">
        <v>126</v>
      </c>
      <c r="F8" s="82" t="s">
        <v>78</v>
      </c>
      <c r="G8" s="82" t="s">
        <v>89</v>
      </c>
      <c r="H8" s="82">
        <v>280</v>
      </c>
      <c r="I8" s="82">
        <v>604.86969999999997</v>
      </c>
      <c r="J8" s="82" t="s">
        <v>83</v>
      </c>
      <c r="K8" s="82">
        <v>775000</v>
      </c>
      <c r="L8" s="82">
        <v>154.2884</v>
      </c>
      <c r="M8" s="82">
        <v>0.25507708519702676</v>
      </c>
      <c r="N8" s="82">
        <v>3</v>
      </c>
      <c r="O8" s="82"/>
      <c r="P8" s="82">
        <v>0.66531932093775259</v>
      </c>
      <c r="Q8" s="82">
        <v>5</v>
      </c>
      <c r="R8" s="82">
        <v>0.44999999999999996</v>
      </c>
      <c r="S8" s="82">
        <v>4</v>
      </c>
      <c r="T8" s="82">
        <v>0.35</v>
      </c>
      <c r="U8" s="82">
        <v>2</v>
      </c>
      <c r="V8" s="82">
        <v>0.42</v>
      </c>
      <c r="W8" s="82">
        <v>4</v>
      </c>
      <c r="X8" s="82">
        <v>1</v>
      </c>
      <c r="Y8" s="82">
        <v>1</v>
      </c>
      <c r="Z8" s="82">
        <v>56</v>
      </c>
      <c r="AA8" s="82">
        <v>4</v>
      </c>
      <c r="AB8" s="82">
        <v>3.3333333333333335</v>
      </c>
      <c r="AC8" s="82"/>
      <c r="AD8" s="82">
        <v>3.166666666666667</v>
      </c>
      <c r="AE8" s="82" t="s">
        <v>124</v>
      </c>
      <c r="AF8" s="82" t="s">
        <v>65</v>
      </c>
      <c r="AG8" s="82">
        <v>3</v>
      </c>
      <c r="AH8" s="82" t="s">
        <v>87</v>
      </c>
      <c r="AI8" s="82">
        <v>3</v>
      </c>
      <c r="AJ8" s="82" t="s">
        <v>90</v>
      </c>
      <c r="AK8" s="82">
        <v>3</v>
      </c>
      <c r="AL8" s="82" t="s">
        <v>68</v>
      </c>
      <c r="AM8" s="82">
        <v>3</v>
      </c>
      <c r="AN8" s="82" t="s">
        <v>69</v>
      </c>
      <c r="AO8" s="82">
        <v>3</v>
      </c>
      <c r="AP8" s="82" t="s">
        <v>70</v>
      </c>
      <c r="AQ8" s="82">
        <v>3</v>
      </c>
      <c r="AR8" s="82">
        <v>3</v>
      </c>
      <c r="AS8" s="82"/>
      <c r="AT8" s="82">
        <v>1.0555555555555556</v>
      </c>
      <c r="AU8" s="82" t="s">
        <v>125</v>
      </c>
      <c r="AV8" s="82">
        <v>2</v>
      </c>
      <c r="AW8" s="82">
        <v>8</v>
      </c>
      <c r="AX8" s="140" t="s">
        <v>132</v>
      </c>
    </row>
    <row r="9" spans="1:50" ht="30">
      <c r="A9" s="82" t="s">
        <v>160</v>
      </c>
      <c r="B9" s="82" t="s">
        <v>161</v>
      </c>
      <c r="C9" s="82" t="s">
        <v>211</v>
      </c>
      <c r="D9" s="82">
        <v>4</v>
      </c>
      <c r="E9" s="82" t="s">
        <v>127</v>
      </c>
      <c r="F9" s="82" t="s">
        <v>81</v>
      </c>
      <c r="G9" s="82" t="s">
        <v>91</v>
      </c>
      <c r="H9" s="82">
        <v>300</v>
      </c>
      <c r="I9" s="82">
        <v>690.81399999999996</v>
      </c>
      <c r="J9" s="82" t="s">
        <v>181</v>
      </c>
      <c r="K9" s="82">
        <v>8000000</v>
      </c>
      <c r="L9" s="82">
        <v>545.81189999999992</v>
      </c>
      <c r="M9" s="82">
        <v>0.79009965055716869</v>
      </c>
      <c r="N9" s="82">
        <v>5</v>
      </c>
      <c r="O9" s="82"/>
      <c r="P9" s="82">
        <v>0.57031554343591739</v>
      </c>
      <c r="Q9" s="82">
        <v>4</v>
      </c>
      <c r="R9" s="82">
        <v>0.44999999999999996</v>
      </c>
      <c r="S9" s="82">
        <v>4</v>
      </c>
      <c r="T9" s="82">
        <v>0.33999999999999997</v>
      </c>
      <c r="U9" s="82">
        <v>2</v>
      </c>
      <c r="V9" s="82">
        <v>0.53</v>
      </c>
      <c r="W9" s="82">
        <v>5</v>
      </c>
      <c r="X9" s="82">
        <v>0.90708729472774419</v>
      </c>
      <c r="Y9" s="82">
        <v>1</v>
      </c>
      <c r="Z9" s="82">
        <v>30</v>
      </c>
      <c r="AA9" s="82">
        <v>3</v>
      </c>
      <c r="AB9" s="82">
        <v>3.1666666666666665</v>
      </c>
      <c r="AC9" s="82"/>
      <c r="AD9" s="82">
        <v>4.083333333333333</v>
      </c>
      <c r="AE9" s="82" t="s">
        <v>213</v>
      </c>
      <c r="AF9" s="82" t="s">
        <v>65</v>
      </c>
      <c r="AG9" s="82">
        <v>3</v>
      </c>
      <c r="AH9" s="82" t="s">
        <v>73</v>
      </c>
      <c r="AI9" s="82">
        <v>3</v>
      </c>
      <c r="AJ9" s="82" t="s">
        <v>93</v>
      </c>
      <c r="AK9" s="82">
        <v>3</v>
      </c>
      <c r="AL9" s="82" t="s">
        <v>68</v>
      </c>
      <c r="AM9" s="82">
        <v>3</v>
      </c>
      <c r="AN9" s="82" t="s">
        <v>69</v>
      </c>
      <c r="AO9" s="82">
        <v>3</v>
      </c>
      <c r="AP9" s="82" t="s">
        <v>70</v>
      </c>
      <c r="AQ9" s="82">
        <v>3</v>
      </c>
      <c r="AR9" s="82">
        <v>3</v>
      </c>
      <c r="AS9" s="82"/>
      <c r="AT9" s="82">
        <v>1.3611111111111109</v>
      </c>
      <c r="AU9" s="82" t="s">
        <v>125</v>
      </c>
      <c r="AV9" s="82">
        <v>3</v>
      </c>
      <c r="AW9" s="82">
        <v>12</v>
      </c>
      <c r="AX9" s="140" t="s">
        <v>128</v>
      </c>
    </row>
    <row r="10" spans="1:50" ht="30">
      <c r="A10" s="82" t="s">
        <v>160</v>
      </c>
      <c r="B10" s="82" t="s">
        <v>161</v>
      </c>
      <c r="C10" s="82" t="s">
        <v>211</v>
      </c>
      <c r="D10" s="82">
        <v>4</v>
      </c>
      <c r="E10" s="82" t="s">
        <v>126</v>
      </c>
      <c r="F10" s="82" t="s">
        <v>78</v>
      </c>
      <c r="G10" s="82" t="s">
        <v>94</v>
      </c>
      <c r="H10" s="82">
        <v>95</v>
      </c>
      <c r="I10" s="82">
        <v>151.44800000000001</v>
      </c>
      <c r="J10" s="82" t="s">
        <v>83</v>
      </c>
      <c r="K10" s="82">
        <v>130000</v>
      </c>
      <c r="L10" s="82">
        <v>6.979133</v>
      </c>
      <c r="M10" s="82">
        <v>4.6082701653372769E-2</v>
      </c>
      <c r="N10" s="82">
        <v>1</v>
      </c>
      <c r="O10" s="82"/>
      <c r="P10" s="82">
        <v>0.47914614121510674</v>
      </c>
      <c r="Q10" s="82">
        <v>4</v>
      </c>
      <c r="R10" s="82">
        <v>0.44999999999999996</v>
      </c>
      <c r="S10" s="82">
        <v>4</v>
      </c>
      <c r="T10" s="82">
        <v>0.44999999999999996</v>
      </c>
      <c r="U10" s="82">
        <v>3</v>
      </c>
      <c r="V10" s="82">
        <v>0.43</v>
      </c>
      <c r="W10" s="82">
        <v>4</v>
      </c>
      <c r="X10" s="82">
        <v>1</v>
      </c>
      <c r="Y10" s="82">
        <v>1</v>
      </c>
      <c r="Z10" s="82">
        <v>19</v>
      </c>
      <c r="AA10" s="82">
        <v>2</v>
      </c>
      <c r="AB10" s="82">
        <v>3</v>
      </c>
      <c r="AC10" s="82"/>
      <c r="AD10" s="82">
        <v>2</v>
      </c>
      <c r="AE10" s="82" t="s">
        <v>125</v>
      </c>
      <c r="AF10" s="82" t="s">
        <v>95</v>
      </c>
      <c r="AG10" s="82">
        <v>4</v>
      </c>
      <c r="AH10" s="82" t="s">
        <v>96</v>
      </c>
      <c r="AI10" s="82">
        <v>2</v>
      </c>
      <c r="AJ10" s="82" t="s">
        <v>97</v>
      </c>
      <c r="AK10" s="82">
        <v>3</v>
      </c>
      <c r="AL10" s="82" t="s">
        <v>68</v>
      </c>
      <c r="AM10" s="82">
        <v>3</v>
      </c>
      <c r="AN10" s="82" t="s">
        <v>69</v>
      </c>
      <c r="AO10" s="82">
        <v>3</v>
      </c>
      <c r="AP10" s="82" t="s">
        <v>70</v>
      </c>
      <c r="AQ10" s="82">
        <v>3</v>
      </c>
      <c r="AR10" s="82">
        <v>3</v>
      </c>
      <c r="AS10" s="82"/>
      <c r="AT10" s="82">
        <v>0.66666666666666663</v>
      </c>
      <c r="AU10" s="82" t="s">
        <v>130</v>
      </c>
      <c r="AV10" s="82">
        <v>3</v>
      </c>
      <c r="AW10" s="82">
        <v>12</v>
      </c>
      <c r="AX10" s="140" t="s">
        <v>128</v>
      </c>
    </row>
    <row r="11" spans="1:50" ht="30">
      <c r="A11" s="82" t="s">
        <v>160</v>
      </c>
      <c r="B11" s="82" t="s">
        <v>161</v>
      </c>
      <c r="C11" s="82" t="s">
        <v>211</v>
      </c>
      <c r="D11" s="82">
        <v>4</v>
      </c>
      <c r="E11" s="82" t="s">
        <v>126</v>
      </c>
      <c r="F11" s="82" t="s">
        <v>78</v>
      </c>
      <c r="G11" s="82" t="s">
        <v>98</v>
      </c>
      <c r="H11" s="82">
        <v>500</v>
      </c>
      <c r="I11" s="82">
        <v>1995.4369999999999</v>
      </c>
      <c r="J11" s="82" t="s">
        <v>83</v>
      </c>
      <c r="K11" s="82">
        <v>350000</v>
      </c>
      <c r="L11" s="82">
        <v>367.03409999999997</v>
      </c>
      <c r="M11" s="82">
        <v>0.18393670158466541</v>
      </c>
      <c r="N11" s="82">
        <v>3</v>
      </c>
      <c r="O11" s="82"/>
      <c r="P11" s="82">
        <v>0.53847703464947627</v>
      </c>
      <c r="Q11" s="82">
        <v>5</v>
      </c>
      <c r="R11" s="82">
        <v>0.44999999999999996</v>
      </c>
      <c r="S11" s="82">
        <v>4</v>
      </c>
      <c r="T11" s="82">
        <v>0.41000000000000003</v>
      </c>
      <c r="U11" s="82">
        <v>3</v>
      </c>
      <c r="V11" s="82">
        <v>0.45</v>
      </c>
      <c r="W11" s="82">
        <v>4</v>
      </c>
      <c r="X11" s="82">
        <v>1</v>
      </c>
      <c r="Y11" s="82">
        <v>1</v>
      </c>
      <c r="Z11" s="82">
        <v>50</v>
      </c>
      <c r="AA11" s="82">
        <v>5</v>
      </c>
      <c r="AB11" s="82">
        <v>3.6666666666666665</v>
      </c>
      <c r="AC11" s="82"/>
      <c r="AD11" s="82">
        <v>3.333333333333333</v>
      </c>
      <c r="AE11" s="82" t="s">
        <v>124</v>
      </c>
      <c r="AF11" s="82" t="s">
        <v>95</v>
      </c>
      <c r="AG11" s="82">
        <v>4</v>
      </c>
      <c r="AH11" s="82" t="s">
        <v>99</v>
      </c>
      <c r="AI11" s="82">
        <v>4</v>
      </c>
      <c r="AJ11" s="82" t="s">
        <v>100</v>
      </c>
      <c r="AK11" s="82">
        <v>3</v>
      </c>
      <c r="AL11" s="82" t="s">
        <v>68</v>
      </c>
      <c r="AM11" s="82">
        <v>3</v>
      </c>
      <c r="AN11" s="82" t="s">
        <v>69</v>
      </c>
      <c r="AO11" s="82">
        <v>3</v>
      </c>
      <c r="AP11" s="82" t="s">
        <v>70</v>
      </c>
      <c r="AQ11" s="82">
        <v>3</v>
      </c>
      <c r="AR11" s="82">
        <v>3.3333333333333335</v>
      </c>
      <c r="AS11" s="82"/>
      <c r="AT11" s="82">
        <v>0.99999999999999989</v>
      </c>
      <c r="AU11" s="82" t="s">
        <v>130</v>
      </c>
      <c r="AV11" s="82">
        <v>0.76923851732473802</v>
      </c>
      <c r="AW11" s="82">
        <v>3.0769540692989521</v>
      </c>
      <c r="AX11" s="140" t="s">
        <v>131</v>
      </c>
    </row>
    <row r="12" spans="1:50" ht="30">
      <c r="A12" s="82" t="s">
        <v>160</v>
      </c>
      <c r="B12" s="82" t="s">
        <v>161</v>
      </c>
      <c r="C12" s="82" t="s">
        <v>211</v>
      </c>
      <c r="D12" s="82">
        <v>4</v>
      </c>
      <c r="E12" s="82" t="s">
        <v>123</v>
      </c>
      <c r="F12" s="82" t="s">
        <v>81</v>
      </c>
      <c r="G12" s="82" t="s">
        <v>101</v>
      </c>
      <c r="H12" s="82">
        <v>360</v>
      </c>
      <c r="I12" s="82">
        <v>696.03599999999994</v>
      </c>
      <c r="J12" s="82" t="s">
        <v>102</v>
      </c>
      <c r="K12" s="82">
        <v>2700000</v>
      </c>
      <c r="L12" s="82">
        <v>106.64344000000001</v>
      </c>
      <c r="M12" s="82">
        <v>0.15321540839841621</v>
      </c>
      <c r="N12" s="82">
        <v>2</v>
      </c>
      <c r="O12" s="82"/>
      <c r="P12" s="82">
        <v>0.44053464266230224</v>
      </c>
      <c r="Q12" s="82">
        <v>4</v>
      </c>
      <c r="R12" s="82">
        <v>0.44999999999999996</v>
      </c>
      <c r="S12" s="82">
        <v>4</v>
      </c>
      <c r="T12" s="82">
        <v>0.36</v>
      </c>
      <c r="U12" s="82">
        <v>2</v>
      </c>
      <c r="V12" s="82">
        <v>0.6</v>
      </c>
      <c r="W12" s="82">
        <v>5</v>
      </c>
      <c r="X12" s="82">
        <v>1</v>
      </c>
      <c r="Y12" s="82">
        <v>1</v>
      </c>
      <c r="Z12" s="82">
        <v>36</v>
      </c>
      <c r="AA12" s="82">
        <v>4</v>
      </c>
      <c r="AB12" s="82">
        <v>3.3333333333333335</v>
      </c>
      <c r="AC12" s="82"/>
      <c r="AD12" s="82">
        <v>2.666666666666667</v>
      </c>
      <c r="AE12" s="82" t="s">
        <v>129</v>
      </c>
      <c r="AF12" s="82" t="s">
        <v>65</v>
      </c>
      <c r="AG12" s="82">
        <v>3</v>
      </c>
      <c r="AH12" s="82" t="s">
        <v>66</v>
      </c>
      <c r="AI12" s="82">
        <v>3</v>
      </c>
      <c r="AJ12" s="82" t="s">
        <v>103</v>
      </c>
      <c r="AK12" s="82">
        <v>3</v>
      </c>
      <c r="AL12" s="82" t="s">
        <v>68</v>
      </c>
      <c r="AM12" s="82">
        <v>3</v>
      </c>
      <c r="AN12" s="82" t="s">
        <v>69</v>
      </c>
      <c r="AO12" s="82">
        <v>3</v>
      </c>
      <c r="AP12" s="82" t="s">
        <v>70</v>
      </c>
      <c r="AQ12" s="82">
        <v>3</v>
      </c>
      <c r="AR12" s="82">
        <v>3</v>
      </c>
      <c r="AS12" s="82"/>
      <c r="AT12" s="82">
        <v>0.88888888888888895</v>
      </c>
      <c r="AU12" s="82" t="s">
        <v>130</v>
      </c>
      <c r="AV12" s="82">
        <v>0.66471176577559565</v>
      </c>
      <c r="AW12" s="82">
        <v>2.6588470631023826</v>
      </c>
      <c r="AX12" s="140" t="s">
        <v>131</v>
      </c>
    </row>
    <row r="13" spans="1:50" ht="30">
      <c r="A13" s="82" t="s">
        <v>160</v>
      </c>
      <c r="B13" s="82" t="s">
        <v>161</v>
      </c>
      <c r="C13" s="82" t="s">
        <v>211</v>
      </c>
      <c r="D13" s="82">
        <v>4</v>
      </c>
      <c r="E13" s="82" t="s">
        <v>126</v>
      </c>
      <c r="F13" s="82" t="s">
        <v>78</v>
      </c>
      <c r="G13" s="82" t="s">
        <v>104</v>
      </c>
      <c r="H13" s="82">
        <v>697</v>
      </c>
      <c r="I13" s="82">
        <v>174.066</v>
      </c>
      <c r="J13" s="82" t="s">
        <v>181</v>
      </c>
      <c r="K13" s="82">
        <v>3800000</v>
      </c>
      <c r="L13" s="82">
        <v>61.24286</v>
      </c>
      <c r="M13" s="82">
        <v>0.35183700435467008</v>
      </c>
      <c r="N13" s="82">
        <v>4</v>
      </c>
      <c r="O13" s="82"/>
      <c r="P13" s="82">
        <v>0.61360832011281496</v>
      </c>
      <c r="Q13" s="82">
        <v>5</v>
      </c>
      <c r="R13" s="82">
        <v>0.55000000000000004</v>
      </c>
      <c r="S13" s="82">
        <v>5</v>
      </c>
      <c r="T13" s="82">
        <v>0.4</v>
      </c>
      <c r="U13" s="82">
        <v>3</v>
      </c>
      <c r="V13" s="82">
        <v>0.24166695391403292</v>
      </c>
      <c r="W13" s="82">
        <v>2</v>
      </c>
      <c r="X13" s="82">
        <v>1</v>
      </c>
      <c r="Y13" s="82">
        <v>1</v>
      </c>
      <c r="Z13" s="82">
        <v>34.85</v>
      </c>
      <c r="AA13" s="82">
        <v>4</v>
      </c>
      <c r="AB13" s="82">
        <v>3.3333333333333335</v>
      </c>
      <c r="AC13" s="82"/>
      <c r="AD13" s="82">
        <v>3.666666666666667</v>
      </c>
      <c r="AE13" s="82" t="s">
        <v>124</v>
      </c>
      <c r="AF13" s="82" t="s">
        <v>95</v>
      </c>
      <c r="AG13" s="82">
        <v>4</v>
      </c>
      <c r="AH13" s="82" t="s">
        <v>99</v>
      </c>
      <c r="AI13" s="82">
        <v>4</v>
      </c>
      <c r="AJ13" s="82" t="s">
        <v>105</v>
      </c>
      <c r="AK13" s="82">
        <v>3</v>
      </c>
      <c r="AL13" s="82" t="s">
        <v>68</v>
      </c>
      <c r="AM13" s="82">
        <v>3</v>
      </c>
      <c r="AN13" s="82" t="s">
        <v>69</v>
      </c>
      <c r="AO13" s="82">
        <v>3</v>
      </c>
      <c r="AP13" s="82" t="s">
        <v>70</v>
      </c>
      <c r="AQ13" s="82">
        <v>3</v>
      </c>
      <c r="AR13" s="82">
        <v>3.3333333333333335</v>
      </c>
      <c r="AS13" s="82"/>
      <c r="AT13" s="82">
        <v>1.1000000000000001</v>
      </c>
      <c r="AU13" s="82" t="s">
        <v>125</v>
      </c>
      <c r="AV13" s="82">
        <v>0.85680416005640758</v>
      </c>
      <c r="AW13" s="82">
        <v>3.4272166402256303</v>
      </c>
      <c r="AX13" s="140" t="s">
        <v>131</v>
      </c>
    </row>
    <row r="14" spans="1:50" ht="45">
      <c r="A14" s="82" t="s">
        <v>160</v>
      </c>
      <c r="B14" s="82" t="s">
        <v>161</v>
      </c>
      <c r="C14" s="82" t="s">
        <v>211</v>
      </c>
      <c r="D14" s="82">
        <v>4</v>
      </c>
      <c r="E14" s="82" t="s">
        <v>126</v>
      </c>
      <c r="F14" s="82" t="s">
        <v>81</v>
      </c>
      <c r="G14" s="82" t="s">
        <v>106</v>
      </c>
      <c r="H14" s="82">
        <v>220</v>
      </c>
      <c r="I14" s="82">
        <v>518.54</v>
      </c>
      <c r="J14" s="82" t="s">
        <v>182</v>
      </c>
      <c r="K14" s="82">
        <v>832500</v>
      </c>
      <c r="L14" s="82">
        <v>135.79599999999999</v>
      </c>
      <c r="M14" s="82">
        <v>0.26188143634049449</v>
      </c>
      <c r="N14" s="82">
        <v>3</v>
      </c>
      <c r="O14" s="82"/>
      <c r="P14" s="82">
        <v>0.39795918367346939</v>
      </c>
      <c r="Q14" s="82">
        <v>4</v>
      </c>
      <c r="R14" s="82">
        <v>0.44999999999999996</v>
      </c>
      <c r="S14" s="82">
        <v>4</v>
      </c>
      <c r="T14" s="82">
        <v>0.21999999999999997</v>
      </c>
      <c r="U14" s="82">
        <v>1</v>
      </c>
      <c r="V14" s="82">
        <v>0.539186947969298</v>
      </c>
      <c r="W14" s="82">
        <v>5</v>
      </c>
      <c r="X14" s="82">
        <v>0.89473684210526305</v>
      </c>
      <c r="Y14" s="82">
        <v>1</v>
      </c>
      <c r="Z14" s="82">
        <v>33</v>
      </c>
      <c r="AA14" s="82">
        <v>4</v>
      </c>
      <c r="AB14" s="82">
        <v>3.1666666666666665</v>
      </c>
      <c r="AC14" s="82"/>
      <c r="AD14" s="82">
        <v>3.083333333333333</v>
      </c>
      <c r="AE14" s="82" t="s">
        <v>124</v>
      </c>
      <c r="AF14" s="82" t="s">
        <v>65</v>
      </c>
      <c r="AG14" s="82">
        <v>3</v>
      </c>
      <c r="AH14" s="82" t="s">
        <v>66</v>
      </c>
      <c r="AI14" s="82">
        <v>3</v>
      </c>
      <c r="AJ14" s="82" t="s">
        <v>107</v>
      </c>
      <c r="AK14" s="82">
        <v>3</v>
      </c>
      <c r="AL14" s="82" t="s">
        <v>68</v>
      </c>
      <c r="AM14" s="82">
        <v>3</v>
      </c>
      <c r="AN14" s="82" t="s">
        <v>69</v>
      </c>
      <c r="AO14" s="82">
        <v>3</v>
      </c>
      <c r="AP14" s="82" t="s">
        <v>70</v>
      </c>
      <c r="AQ14" s="82">
        <v>3</v>
      </c>
      <c r="AR14" s="82">
        <v>3</v>
      </c>
      <c r="AS14" s="82"/>
      <c r="AT14" s="82">
        <v>1.0277777777777777</v>
      </c>
      <c r="AU14" s="82" t="s">
        <v>125</v>
      </c>
      <c r="AV14" s="82">
        <v>4</v>
      </c>
      <c r="AW14" s="82">
        <v>16</v>
      </c>
      <c r="AX14" s="140" t="s">
        <v>220</v>
      </c>
    </row>
    <row r="15" spans="1:50" ht="45">
      <c r="A15" s="82" t="s">
        <v>160</v>
      </c>
      <c r="B15" s="82" t="s">
        <v>161</v>
      </c>
      <c r="C15" s="82" t="s">
        <v>211</v>
      </c>
      <c r="D15" s="82">
        <v>4</v>
      </c>
      <c r="E15" s="82" t="s">
        <v>123</v>
      </c>
      <c r="F15" s="82" t="s">
        <v>81</v>
      </c>
      <c r="G15" s="82" t="s">
        <v>108</v>
      </c>
      <c r="H15" s="82">
        <v>1150</v>
      </c>
      <c r="I15" s="82">
        <v>390.36799999999999</v>
      </c>
      <c r="J15" s="82" t="s">
        <v>183</v>
      </c>
      <c r="K15" s="82">
        <v>1509000</v>
      </c>
      <c r="L15" s="82">
        <v>248.90893</v>
      </c>
      <c r="M15" s="82">
        <v>0.63762636793999505</v>
      </c>
      <c r="N15" s="82">
        <v>5</v>
      </c>
      <c r="O15" s="82"/>
      <c r="P15" s="82">
        <v>0.13721404093729739</v>
      </c>
      <c r="Q15" s="82">
        <v>2</v>
      </c>
      <c r="R15" s="82">
        <v>0.44999999999999996</v>
      </c>
      <c r="S15" s="82">
        <v>4</v>
      </c>
      <c r="T15" s="82">
        <v>0.19999999999999996</v>
      </c>
      <c r="U15" s="82">
        <v>1</v>
      </c>
      <c r="V15" s="82">
        <v>0.68</v>
      </c>
      <c r="W15" s="82">
        <v>5</v>
      </c>
      <c r="X15" s="82">
        <v>0.73256460127813305</v>
      </c>
      <c r="Y15" s="82">
        <v>2</v>
      </c>
      <c r="Z15" s="82">
        <v>46</v>
      </c>
      <c r="AA15" s="82">
        <v>4</v>
      </c>
      <c r="AB15" s="82">
        <v>3</v>
      </c>
      <c r="AC15" s="82"/>
      <c r="AD15" s="82">
        <v>4</v>
      </c>
      <c r="AE15" s="82" t="s">
        <v>124</v>
      </c>
      <c r="AF15" s="82" t="s">
        <v>65</v>
      </c>
      <c r="AG15" s="82">
        <v>3</v>
      </c>
      <c r="AH15" s="82" t="s">
        <v>66</v>
      </c>
      <c r="AI15" s="82">
        <v>3</v>
      </c>
      <c r="AJ15" s="82" t="s">
        <v>103</v>
      </c>
      <c r="AK15" s="82">
        <v>3</v>
      </c>
      <c r="AL15" s="82" t="s">
        <v>68</v>
      </c>
      <c r="AM15" s="82">
        <v>3</v>
      </c>
      <c r="AN15" s="82" t="s">
        <v>69</v>
      </c>
      <c r="AO15" s="82">
        <v>3</v>
      </c>
      <c r="AP15" s="82" t="s">
        <v>70</v>
      </c>
      <c r="AQ15" s="82">
        <v>3</v>
      </c>
      <c r="AR15" s="82">
        <v>3</v>
      </c>
      <c r="AS15" s="82"/>
      <c r="AT15" s="82">
        <v>1.3333333333333333</v>
      </c>
      <c r="AU15" s="82" t="s">
        <v>125</v>
      </c>
      <c r="AV15" s="82">
        <v>4</v>
      </c>
      <c r="AW15" s="82">
        <v>16</v>
      </c>
      <c r="AX15" s="140" t="s">
        <v>220</v>
      </c>
    </row>
    <row r="16" spans="1:50" ht="45">
      <c r="A16" s="82" t="s">
        <v>160</v>
      </c>
      <c r="B16" s="82" t="s">
        <v>161</v>
      </c>
      <c r="C16" s="82" t="s">
        <v>211</v>
      </c>
      <c r="D16" s="82">
        <v>4</v>
      </c>
      <c r="E16" s="82" t="s">
        <v>126</v>
      </c>
      <c r="F16" s="82" t="s">
        <v>81</v>
      </c>
      <c r="G16" s="82" t="s">
        <v>109</v>
      </c>
      <c r="H16" s="82">
        <v>830</v>
      </c>
      <c r="I16" s="82">
        <v>1513.2539999999999</v>
      </c>
      <c r="J16" s="82" t="s">
        <v>184</v>
      </c>
      <c r="K16" s="82">
        <v>3400000</v>
      </c>
      <c r="L16" s="82">
        <v>390.09899999999999</v>
      </c>
      <c r="M16" s="82">
        <v>0.25778818360962535</v>
      </c>
      <c r="N16" s="82">
        <v>3</v>
      </c>
      <c r="O16" s="82"/>
      <c r="P16" s="82">
        <v>0.53052995391705071</v>
      </c>
      <c r="Q16" s="82">
        <v>5</v>
      </c>
      <c r="R16" s="82">
        <v>0.44999999999999996</v>
      </c>
      <c r="S16" s="82">
        <v>4</v>
      </c>
      <c r="T16" s="82">
        <v>0.20599999999999996</v>
      </c>
      <c r="U16" s="82">
        <v>2</v>
      </c>
      <c r="V16" s="82">
        <v>0.57999999999999996</v>
      </c>
      <c r="W16" s="82">
        <v>5</v>
      </c>
      <c r="X16" s="82">
        <v>1</v>
      </c>
      <c r="Y16" s="82">
        <v>1</v>
      </c>
      <c r="Z16" s="82">
        <v>41.5</v>
      </c>
      <c r="AA16" s="82">
        <v>4</v>
      </c>
      <c r="AB16" s="82">
        <v>3.5</v>
      </c>
      <c r="AC16" s="82"/>
      <c r="AD16" s="82">
        <v>3.25</v>
      </c>
      <c r="AE16" s="82" t="s">
        <v>124</v>
      </c>
      <c r="AF16" s="82" t="s">
        <v>65</v>
      </c>
      <c r="AG16" s="82">
        <v>3</v>
      </c>
      <c r="AH16" s="82" t="s">
        <v>66</v>
      </c>
      <c r="AI16" s="82">
        <v>3</v>
      </c>
      <c r="AJ16" s="82" t="s">
        <v>103</v>
      </c>
      <c r="AK16" s="82">
        <v>3</v>
      </c>
      <c r="AL16" s="82" t="s">
        <v>68</v>
      </c>
      <c r="AM16" s="82">
        <v>3</v>
      </c>
      <c r="AN16" s="82" t="s">
        <v>69</v>
      </c>
      <c r="AO16" s="82">
        <v>3</v>
      </c>
      <c r="AP16" s="82" t="s">
        <v>70</v>
      </c>
      <c r="AQ16" s="82">
        <v>3</v>
      </c>
      <c r="AR16" s="82">
        <v>3</v>
      </c>
      <c r="AS16" s="82"/>
      <c r="AT16" s="82">
        <v>1.0833333333333333</v>
      </c>
      <c r="AU16" s="82" t="s">
        <v>125</v>
      </c>
      <c r="AV16" s="82">
        <v>4</v>
      </c>
      <c r="AW16" s="82">
        <v>16</v>
      </c>
      <c r="AX16" s="140" t="s">
        <v>220</v>
      </c>
    </row>
    <row r="17" spans="1:50" ht="45">
      <c r="A17" s="82" t="s">
        <v>160</v>
      </c>
      <c r="B17" s="82" t="s">
        <v>161</v>
      </c>
      <c r="C17" s="82" t="s">
        <v>211</v>
      </c>
      <c r="D17" s="82">
        <v>4</v>
      </c>
      <c r="E17" s="82" t="s">
        <v>126</v>
      </c>
      <c r="F17" s="82" t="s">
        <v>81</v>
      </c>
      <c r="G17" s="82" t="s">
        <v>111</v>
      </c>
      <c r="H17" s="82">
        <v>245</v>
      </c>
      <c r="I17" s="82">
        <v>771.8309999999999</v>
      </c>
      <c r="J17" s="82" t="s">
        <v>185</v>
      </c>
      <c r="K17" s="82">
        <v>325000</v>
      </c>
      <c r="L17" s="82">
        <v>246.10230799999999</v>
      </c>
      <c r="M17" s="82">
        <v>0.31885517425446763</v>
      </c>
      <c r="N17" s="82">
        <v>4</v>
      </c>
      <c r="O17" s="82"/>
      <c r="P17" s="82">
        <v>0.56637519872813991</v>
      </c>
      <c r="Q17" s="82">
        <v>5</v>
      </c>
      <c r="R17" s="82">
        <v>0.55000000000000004</v>
      </c>
      <c r="S17" s="82">
        <v>5</v>
      </c>
      <c r="T17" s="82">
        <v>0.23499999999999999</v>
      </c>
      <c r="U17" s="82">
        <v>2</v>
      </c>
      <c r="V17" s="82">
        <v>0.56000000000000005</v>
      </c>
      <c r="W17" s="82">
        <v>5</v>
      </c>
      <c r="X17" s="82">
        <v>0.92</v>
      </c>
      <c r="Y17" s="82">
        <v>1</v>
      </c>
      <c r="Z17" s="82">
        <v>49</v>
      </c>
      <c r="AA17" s="82">
        <v>4</v>
      </c>
      <c r="AB17" s="82">
        <v>3.6666666666666665</v>
      </c>
      <c r="AC17" s="82"/>
      <c r="AD17" s="82">
        <v>3.833333333333333</v>
      </c>
      <c r="AE17" s="82" t="s">
        <v>124</v>
      </c>
      <c r="AF17" s="82" t="s">
        <v>65</v>
      </c>
      <c r="AG17" s="82">
        <v>3</v>
      </c>
      <c r="AH17" s="82" t="s">
        <v>87</v>
      </c>
      <c r="AI17" s="82">
        <v>3</v>
      </c>
      <c r="AJ17" s="82" t="s">
        <v>112</v>
      </c>
      <c r="AK17" s="82">
        <v>3</v>
      </c>
      <c r="AL17" s="82" t="s">
        <v>68</v>
      </c>
      <c r="AM17" s="82">
        <v>3</v>
      </c>
      <c r="AN17" s="82" t="s">
        <v>69</v>
      </c>
      <c r="AO17" s="82">
        <v>3</v>
      </c>
      <c r="AP17" s="82" t="s">
        <v>70</v>
      </c>
      <c r="AQ17" s="82">
        <v>3</v>
      </c>
      <c r="AR17" s="82">
        <v>3</v>
      </c>
      <c r="AS17" s="82"/>
      <c r="AT17" s="82">
        <v>1.2777777777777777</v>
      </c>
      <c r="AU17" s="82" t="s">
        <v>125</v>
      </c>
      <c r="AV17" s="82">
        <v>4</v>
      </c>
      <c r="AW17" s="82">
        <v>16</v>
      </c>
      <c r="AX17" s="140" t="s">
        <v>220</v>
      </c>
    </row>
    <row r="18" spans="1:50" ht="45">
      <c r="A18" s="82" t="s">
        <v>160</v>
      </c>
      <c r="B18" s="82" t="s">
        <v>161</v>
      </c>
      <c r="C18" s="82" t="s">
        <v>211</v>
      </c>
      <c r="D18" s="82">
        <v>4</v>
      </c>
      <c r="E18" s="82" t="s">
        <v>123</v>
      </c>
      <c r="F18" s="82" t="s">
        <v>81</v>
      </c>
      <c r="G18" s="82" t="s">
        <v>113</v>
      </c>
      <c r="H18" s="82">
        <v>620</v>
      </c>
      <c r="I18" s="82">
        <v>276.44799999999998</v>
      </c>
      <c r="J18" s="82" t="s">
        <v>110</v>
      </c>
      <c r="K18" s="82">
        <v>15000000</v>
      </c>
      <c r="L18" s="82">
        <v>138.4539</v>
      </c>
      <c r="M18" s="82">
        <v>0.50083162113670565</v>
      </c>
      <c r="N18" s="82">
        <v>5</v>
      </c>
      <c r="O18" s="82"/>
      <c r="P18" s="82">
        <v>0.23196324351173475</v>
      </c>
      <c r="Q18" s="82">
        <v>3</v>
      </c>
      <c r="R18" s="82">
        <v>0.55000000000000004</v>
      </c>
      <c r="S18" s="82">
        <v>5</v>
      </c>
      <c r="T18" s="82">
        <v>0.19799999999999995</v>
      </c>
      <c r="U18" s="82">
        <v>1</v>
      </c>
      <c r="V18" s="82">
        <v>0.72</v>
      </c>
      <c r="W18" s="82">
        <v>5</v>
      </c>
      <c r="X18" s="82">
        <v>0.78871228113746406</v>
      </c>
      <c r="Y18" s="82">
        <v>2</v>
      </c>
      <c r="Z18" s="82">
        <v>31</v>
      </c>
      <c r="AA18" s="82">
        <v>2</v>
      </c>
      <c r="AB18" s="82">
        <v>3</v>
      </c>
      <c r="AC18" s="82"/>
      <c r="AD18" s="82">
        <v>4</v>
      </c>
      <c r="AE18" s="82" t="s">
        <v>124</v>
      </c>
      <c r="AF18" s="82" t="s">
        <v>65</v>
      </c>
      <c r="AG18" s="82">
        <v>3</v>
      </c>
      <c r="AH18" s="82" t="s">
        <v>87</v>
      </c>
      <c r="AI18" s="82">
        <v>3</v>
      </c>
      <c r="AJ18" s="82" t="s">
        <v>103</v>
      </c>
      <c r="AK18" s="82">
        <v>3</v>
      </c>
      <c r="AL18" s="82" t="s">
        <v>68</v>
      </c>
      <c r="AM18" s="82">
        <v>3</v>
      </c>
      <c r="AN18" s="82" t="s">
        <v>69</v>
      </c>
      <c r="AO18" s="82">
        <v>3</v>
      </c>
      <c r="AP18" s="82" t="s">
        <v>70</v>
      </c>
      <c r="AQ18" s="82">
        <v>3</v>
      </c>
      <c r="AR18" s="82">
        <v>3</v>
      </c>
      <c r="AS18" s="82"/>
      <c r="AT18" s="82">
        <v>1.3333333333333333</v>
      </c>
      <c r="AU18" s="82" t="s">
        <v>125</v>
      </c>
      <c r="AV18" s="82">
        <v>4</v>
      </c>
      <c r="AW18" s="82">
        <v>16</v>
      </c>
      <c r="AX18" s="140" t="s">
        <v>220</v>
      </c>
    </row>
    <row r="19" spans="1:50" ht="30">
      <c r="A19" s="82" t="s">
        <v>160</v>
      </c>
      <c r="B19" s="82" t="s">
        <v>161</v>
      </c>
      <c r="C19" s="82" t="s">
        <v>211</v>
      </c>
      <c r="D19" s="82">
        <v>4</v>
      </c>
      <c r="E19" s="82" t="s">
        <v>126</v>
      </c>
      <c r="F19" s="82" t="s">
        <v>78</v>
      </c>
      <c r="G19" s="82" t="s">
        <v>114</v>
      </c>
      <c r="H19" s="82">
        <v>352</v>
      </c>
      <c r="I19" s="82">
        <v>93.6173</v>
      </c>
      <c r="J19" s="82" t="s">
        <v>186</v>
      </c>
      <c r="K19" s="82">
        <v>2819000</v>
      </c>
      <c r="L19" s="82">
        <v>15.747800000000002</v>
      </c>
      <c r="M19" s="82">
        <v>0.16821463554278965</v>
      </c>
      <c r="N19" s="82">
        <v>3</v>
      </c>
      <c r="O19" s="82"/>
      <c r="P19" s="82">
        <v>0.87915262397688976</v>
      </c>
      <c r="Q19" s="82">
        <v>5</v>
      </c>
      <c r="R19" s="82">
        <v>0.55000000000000004</v>
      </c>
      <c r="S19" s="82">
        <v>5</v>
      </c>
      <c r="T19" s="82">
        <v>0.42700000000000005</v>
      </c>
      <c r="U19" s="82">
        <v>3</v>
      </c>
      <c r="V19" s="82">
        <v>0.4</v>
      </c>
      <c r="W19" s="82">
        <v>4</v>
      </c>
      <c r="X19" s="82">
        <v>1</v>
      </c>
      <c r="Y19" s="82">
        <v>1</v>
      </c>
      <c r="Z19" s="82">
        <v>52.8</v>
      </c>
      <c r="AA19" s="82">
        <v>5</v>
      </c>
      <c r="AB19" s="82">
        <v>3.8333333333333335</v>
      </c>
      <c r="AC19" s="82"/>
      <c r="AD19" s="82">
        <v>3.416666666666667</v>
      </c>
      <c r="AE19" s="82" t="s">
        <v>124</v>
      </c>
      <c r="AF19" s="82" t="s">
        <v>95</v>
      </c>
      <c r="AG19" s="82">
        <v>4</v>
      </c>
      <c r="AH19" s="82" t="s">
        <v>115</v>
      </c>
      <c r="AI19" s="82"/>
      <c r="AJ19" s="82" t="s">
        <v>116</v>
      </c>
      <c r="AK19" s="82">
        <v>3</v>
      </c>
      <c r="AL19" s="82" t="s">
        <v>68</v>
      </c>
      <c r="AM19" s="82">
        <v>3</v>
      </c>
      <c r="AN19" s="82" t="s">
        <v>69</v>
      </c>
      <c r="AO19" s="82">
        <v>3</v>
      </c>
      <c r="AP19" s="82" t="s">
        <v>70</v>
      </c>
      <c r="AQ19" s="82">
        <v>3</v>
      </c>
      <c r="AR19" s="82">
        <v>2.6666666666666665</v>
      </c>
      <c r="AS19" s="82"/>
      <c r="AT19" s="82">
        <v>1.2812500000000002</v>
      </c>
      <c r="AU19" s="82" t="s">
        <v>125</v>
      </c>
      <c r="AV19" s="82">
        <v>3</v>
      </c>
      <c r="AW19" s="82">
        <v>12</v>
      </c>
      <c r="AX19" s="140" t="s">
        <v>128</v>
      </c>
    </row>
    <row r="20" spans="1:50" ht="45">
      <c r="A20" s="82" t="s">
        <v>160</v>
      </c>
      <c r="B20" s="82" t="s">
        <v>161</v>
      </c>
      <c r="C20" s="82" t="s">
        <v>211</v>
      </c>
      <c r="D20" s="82">
        <v>4</v>
      </c>
      <c r="E20" s="82" t="s">
        <v>126</v>
      </c>
      <c r="F20" s="82" t="s">
        <v>81</v>
      </c>
      <c r="G20" s="82" t="s">
        <v>117</v>
      </c>
      <c r="H20" s="82">
        <v>700</v>
      </c>
      <c r="I20" s="82">
        <v>783.81659999999999</v>
      </c>
      <c r="J20" s="82" t="s">
        <v>187</v>
      </c>
      <c r="K20" s="82">
        <v>6500000</v>
      </c>
      <c r="L20" s="82">
        <v>639.79899999999998</v>
      </c>
      <c r="M20" s="82">
        <v>0.81626109985422612</v>
      </c>
      <c r="N20" s="82">
        <v>5</v>
      </c>
      <c r="O20" s="82"/>
      <c r="P20" s="82">
        <v>0.53847703464947627</v>
      </c>
      <c r="Q20" s="82">
        <v>5</v>
      </c>
      <c r="R20" s="82">
        <v>0.55000000000000004</v>
      </c>
      <c r="S20" s="82">
        <v>5</v>
      </c>
      <c r="T20" s="82">
        <v>0.34299999999999997</v>
      </c>
      <c r="U20" s="82">
        <v>2</v>
      </c>
      <c r="V20" s="82">
        <v>0.44</v>
      </c>
      <c r="W20" s="82">
        <v>4</v>
      </c>
      <c r="X20" s="82">
        <v>1</v>
      </c>
      <c r="Y20" s="82">
        <v>1</v>
      </c>
      <c r="Z20" s="82">
        <v>49.000000000000007</v>
      </c>
      <c r="AA20" s="82">
        <v>4</v>
      </c>
      <c r="AB20" s="82">
        <v>3.5</v>
      </c>
      <c r="AC20" s="82"/>
      <c r="AD20" s="82">
        <v>4.25</v>
      </c>
      <c r="AE20" s="82" t="s">
        <v>213</v>
      </c>
      <c r="AF20" s="82" t="s">
        <v>65</v>
      </c>
      <c r="AG20" s="82">
        <v>3</v>
      </c>
      <c r="AH20" s="82" t="s">
        <v>87</v>
      </c>
      <c r="AI20" s="82">
        <v>3</v>
      </c>
      <c r="AJ20" s="82" t="s">
        <v>118</v>
      </c>
      <c r="AK20" s="82">
        <v>3</v>
      </c>
      <c r="AL20" s="82" t="s">
        <v>68</v>
      </c>
      <c r="AM20" s="82">
        <v>3</v>
      </c>
      <c r="AN20" s="82" t="s">
        <v>69</v>
      </c>
      <c r="AO20" s="82">
        <v>3</v>
      </c>
      <c r="AP20" s="82" t="s">
        <v>70</v>
      </c>
      <c r="AQ20" s="82">
        <v>3</v>
      </c>
      <c r="AR20" s="82">
        <v>3</v>
      </c>
      <c r="AS20" s="82"/>
      <c r="AT20" s="82">
        <v>1.4166666666666667</v>
      </c>
      <c r="AU20" s="82" t="s">
        <v>125</v>
      </c>
      <c r="AV20" s="82">
        <v>4</v>
      </c>
      <c r="AW20" s="82">
        <v>16</v>
      </c>
      <c r="AX20" s="140" t="s">
        <v>220</v>
      </c>
    </row>
    <row r="21" spans="1:50" ht="45">
      <c r="A21" s="82" t="s">
        <v>160</v>
      </c>
      <c r="B21" s="82" t="s">
        <v>161</v>
      </c>
      <c r="C21" s="82" t="s">
        <v>211</v>
      </c>
      <c r="D21" s="82">
        <v>4</v>
      </c>
      <c r="E21" s="82" t="s">
        <v>126</v>
      </c>
      <c r="F21" s="82" t="s">
        <v>81</v>
      </c>
      <c r="G21" s="82" t="s">
        <v>119</v>
      </c>
      <c r="H21" s="82">
        <v>350</v>
      </c>
      <c r="I21" s="82">
        <v>511.495</v>
      </c>
      <c r="J21" s="82" t="s">
        <v>92</v>
      </c>
      <c r="K21" s="82">
        <v>26500000</v>
      </c>
      <c r="L21" s="82">
        <v>329.82569999999998</v>
      </c>
      <c r="M21" s="82">
        <v>0.6448268311518196</v>
      </c>
      <c r="N21" s="82">
        <v>5</v>
      </c>
      <c r="O21" s="82"/>
      <c r="P21" s="82">
        <v>0.44053464266230224</v>
      </c>
      <c r="Q21" s="82">
        <v>4</v>
      </c>
      <c r="R21" s="82">
        <v>0.55000000000000004</v>
      </c>
      <c r="S21" s="82">
        <v>5</v>
      </c>
      <c r="T21" s="82">
        <v>0.23499999999999999</v>
      </c>
      <c r="U21" s="82">
        <v>2</v>
      </c>
      <c r="V21" s="82">
        <v>0.67</v>
      </c>
      <c r="W21" s="82">
        <v>5</v>
      </c>
      <c r="X21" s="82">
        <v>0.86061102018548796</v>
      </c>
      <c r="Y21" s="82">
        <v>1</v>
      </c>
      <c r="Z21" s="82">
        <v>21</v>
      </c>
      <c r="AA21" s="82">
        <v>2</v>
      </c>
      <c r="AB21" s="82">
        <v>3.1666666666666665</v>
      </c>
      <c r="AC21" s="82"/>
      <c r="AD21" s="82">
        <v>4.083333333333333</v>
      </c>
      <c r="AE21" s="82" t="s">
        <v>213</v>
      </c>
      <c r="AF21" s="82" t="s">
        <v>65</v>
      </c>
      <c r="AG21" s="82">
        <v>3</v>
      </c>
      <c r="AH21" s="82" t="s">
        <v>87</v>
      </c>
      <c r="AI21" s="82">
        <v>3</v>
      </c>
      <c r="AJ21" s="82" t="s">
        <v>120</v>
      </c>
      <c r="AK21" s="82">
        <v>3</v>
      </c>
      <c r="AL21" s="82" t="s">
        <v>68</v>
      </c>
      <c r="AM21" s="82">
        <v>3</v>
      </c>
      <c r="AN21" s="82" t="s">
        <v>69</v>
      </c>
      <c r="AO21" s="82">
        <v>3</v>
      </c>
      <c r="AP21" s="82" t="s">
        <v>70</v>
      </c>
      <c r="AQ21" s="82">
        <v>3</v>
      </c>
      <c r="AR21" s="82">
        <v>3</v>
      </c>
      <c r="AS21" s="82"/>
      <c r="AT21" s="82">
        <v>1.3611111111111109</v>
      </c>
      <c r="AU21" s="82" t="s">
        <v>125</v>
      </c>
      <c r="AV21" s="82">
        <v>4</v>
      </c>
      <c r="AW21" s="82">
        <v>16</v>
      </c>
      <c r="AX21" s="140" t="s">
        <v>220</v>
      </c>
    </row>
    <row r="22" spans="1:50" ht="30">
      <c r="A22" s="82" t="s">
        <v>160</v>
      </c>
      <c r="B22" s="82" t="s">
        <v>161</v>
      </c>
      <c r="C22" s="82" t="s">
        <v>211</v>
      </c>
      <c r="D22" s="82">
        <v>4</v>
      </c>
      <c r="E22" s="82" t="s">
        <v>126</v>
      </c>
      <c r="F22" s="82" t="s">
        <v>78</v>
      </c>
      <c r="G22" s="82" t="s">
        <v>121</v>
      </c>
      <c r="H22" s="82">
        <v>680</v>
      </c>
      <c r="I22" s="82">
        <v>1021.4001000000001</v>
      </c>
      <c r="J22" s="82" t="s">
        <v>188</v>
      </c>
      <c r="K22" s="82">
        <v>970000</v>
      </c>
      <c r="L22" s="82">
        <v>102.23089999999999</v>
      </c>
      <c r="M22" s="82">
        <v>0.10008898569718172</v>
      </c>
      <c r="N22" s="82">
        <v>2</v>
      </c>
      <c r="O22" s="82"/>
      <c r="P22" s="82">
        <v>0.61360832011281508</v>
      </c>
      <c r="Q22" s="82">
        <v>5</v>
      </c>
      <c r="R22" s="82">
        <v>0.55000000000000004</v>
      </c>
      <c r="S22" s="82">
        <v>5</v>
      </c>
      <c r="T22" s="82">
        <v>0.39</v>
      </c>
      <c r="U22" s="82">
        <v>3</v>
      </c>
      <c r="V22" s="82">
        <v>0.46</v>
      </c>
      <c r="W22" s="82">
        <v>4</v>
      </c>
      <c r="X22" s="82">
        <v>1</v>
      </c>
      <c r="Y22" s="82">
        <v>1</v>
      </c>
      <c r="Z22" s="82">
        <v>68</v>
      </c>
      <c r="AA22" s="82">
        <v>5</v>
      </c>
      <c r="AB22" s="82">
        <v>3.8333333333333335</v>
      </c>
      <c r="AC22" s="82"/>
      <c r="AD22" s="82">
        <v>2.916666666666667</v>
      </c>
      <c r="AE22" s="82" t="s">
        <v>129</v>
      </c>
      <c r="AF22" s="82" t="s">
        <v>95</v>
      </c>
      <c r="AG22" s="82">
        <v>4</v>
      </c>
      <c r="AH22" s="82" t="s">
        <v>122</v>
      </c>
      <c r="AI22" s="82">
        <v>2</v>
      </c>
      <c r="AJ22" s="82" t="s">
        <v>103</v>
      </c>
      <c r="AK22" s="82">
        <v>3</v>
      </c>
      <c r="AL22" s="82" t="s">
        <v>68</v>
      </c>
      <c r="AM22" s="82">
        <v>3</v>
      </c>
      <c r="AN22" s="82" t="s">
        <v>69</v>
      </c>
      <c r="AO22" s="82">
        <v>3</v>
      </c>
      <c r="AP22" s="82" t="s">
        <v>70</v>
      </c>
      <c r="AQ22" s="82">
        <v>3</v>
      </c>
      <c r="AR22" s="82">
        <v>3</v>
      </c>
      <c r="AS22" s="82"/>
      <c r="AT22" s="82">
        <v>0.97222222222222232</v>
      </c>
      <c r="AU22" s="82" t="s">
        <v>130</v>
      </c>
      <c r="AV22" s="82">
        <v>2</v>
      </c>
      <c r="AW22" s="82">
        <v>8</v>
      </c>
      <c r="AX22" s="140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C7" zoomScale="80" zoomScaleNormal="80" workbookViewId="0">
      <selection activeCell="I11" sqref="I11"/>
    </sheetView>
  </sheetViews>
  <sheetFormatPr defaultColWidth="8.85546875" defaultRowHeight="15.75"/>
  <cols>
    <col min="1" max="3" width="15.7109375" style="49" customWidth="1"/>
    <col min="4" max="6" width="20.7109375" style="49" customWidth="1"/>
    <col min="7" max="13" width="15.7109375" style="49" customWidth="1"/>
    <col min="14" max="16384" width="8.85546875" style="49"/>
  </cols>
  <sheetData>
    <row r="1" spans="1:13">
      <c r="A1" s="114" t="s">
        <v>133</v>
      </c>
      <c r="B1" s="116" t="s">
        <v>18</v>
      </c>
      <c r="C1" s="118" t="s">
        <v>19</v>
      </c>
      <c r="D1" s="120" t="s">
        <v>162</v>
      </c>
      <c r="E1" s="121"/>
      <c r="F1" s="122"/>
      <c r="G1" s="123" t="s">
        <v>163</v>
      </c>
      <c r="H1" s="125" t="s">
        <v>164</v>
      </c>
      <c r="I1" s="133" t="s">
        <v>10</v>
      </c>
      <c r="J1" s="135" t="s">
        <v>165</v>
      </c>
      <c r="K1" s="137" t="s">
        <v>166</v>
      </c>
      <c r="L1" s="106" t="s">
        <v>14</v>
      </c>
      <c r="M1" s="108" t="s">
        <v>165</v>
      </c>
    </row>
    <row r="2" spans="1:13">
      <c r="A2" s="115"/>
      <c r="B2" s="117"/>
      <c r="C2" s="119"/>
      <c r="D2" s="50" t="s">
        <v>167</v>
      </c>
      <c r="E2" s="51" t="s">
        <v>168</v>
      </c>
      <c r="F2" s="52" t="s">
        <v>169</v>
      </c>
      <c r="G2" s="124"/>
      <c r="H2" s="126"/>
      <c r="I2" s="134"/>
      <c r="J2" s="136"/>
      <c r="K2" s="138"/>
      <c r="L2" s="107"/>
      <c r="M2" s="109"/>
    </row>
    <row r="3" spans="1:13">
      <c r="A3" s="53"/>
      <c r="B3" s="54"/>
      <c r="C3" s="55"/>
      <c r="D3" s="53"/>
      <c r="E3" s="54"/>
      <c r="F3" s="55"/>
      <c r="G3" s="53"/>
      <c r="H3" s="55"/>
      <c r="I3" s="53"/>
      <c r="J3" s="55"/>
      <c r="K3" s="53"/>
      <c r="L3" s="54"/>
      <c r="M3" s="55"/>
    </row>
    <row r="4" spans="1:13" ht="47.25">
      <c r="A4" s="110" t="s">
        <v>170</v>
      </c>
      <c r="B4" s="110" t="s">
        <v>171</v>
      </c>
      <c r="C4" s="110" t="s">
        <v>176</v>
      </c>
      <c r="D4" s="56" t="s">
        <v>178</v>
      </c>
      <c r="E4" s="57" t="s">
        <v>192</v>
      </c>
      <c r="F4" s="58" t="s">
        <v>197</v>
      </c>
      <c r="G4" s="112" t="s">
        <v>214</v>
      </c>
      <c r="H4" s="113" t="s">
        <v>206</v>
      </c>
      <c r="I4" s="112" t="s">
        <v>217</v>
      </c>
      <c r="J4" s="139" t="s">
        <v>172</v>
      </c>
      <c r="K4" s="112">
        <v>14.05</v>
      </c>
      <c r="L4" s="110" t="s">
        <v>212</v>
      </c>
      <c r="M4" s="127" t="s">
        <v>219</v>
      </c>
    </row>
    <row r="5" spans="1:13" ht="63">
      <c r="A5" s="110"/>
      <c r="B5" s="110"/>
      <c r="C5" s="110"/>
      <c r="D5" s="59" t="s">
        <v>179</v>
      </c>
      <c r="E5" s="57" t="s">
        <v>194</v>
      </c>
      <c r="F5" s="60" t="s">
        <v>199</v>
      </c>
      <c r="G5" s="112"/>
      <c r="H5" s="113"/>
      <c r="I5" s="112"/>
      <c r="J5" s="139"/>
      <c r="K5" s="112"/>
      <c r="L5" s="110"/>
      <c r="M5" s="128"/>
    </row>
    <row r="6" spans="1:13" ht="173.25">
      <c r="A6" s="110"/>
      <c r="B6" s="110"/>
      <c r="C6" s="110"/>
      <c r="D6" s="59" t="s">
        <v>180</v>
      </c>
      <c r="E6" s="57" t="s">
        <v>195</v>
      </c>
      <c r="F6" s="58" t="s">
        <v>201</v>
      </c>
      <c r="G6" s="112"/>
      <c r="H6" s="113"/>
      <c r="I6" s="112"/>
      <c r="J6" s="139"/>
      <c r="K6" s="112"/>
      <c r="L6" s="110"/>
      <c r="M6" s="128"/>
    </row>
    <row r="7" spans="1:13" ht="31.5">
      <c r="A7" s="111"/>
      <c r="B7" s="111"/>
      <c r="C7" s="111"/>
      <c r="D7" s="59" t="s">
        <v>190</v>
      </c>
      <c r="E7" s="57" t="s">
        <v>209</v>
      </c>
      <c r="F7" s="58" t="s">
        <v>203</v>
      </c>
      <c r="G7" s="112"/>
      <c r="H7" s="113"/>
      <c r="I7" s="112"/>
      <c r="J7" s="139"/>
      <c r="K7" s="112"/>
      <c r="L7" s="110"/>
      <c r="M7" s="129"/>
    </row>
    <row r="8" spans="1:13">
      <c r="A8" s="61"/>
      <c r="B8" s="62"/>
      <c r="C8" s="63"/>
      <c r="D8" s="59"/>
      <c r="E8" s="57"/>
      <c r="F8" s="58"/>
      <c r="G8" s="64"/>
      <c r="H8" s="65"/>
      <c r="I8" s="64"/>
      <c r="J8" s="66"/>
      <c r="K8" s="64"/>
      <c r="L8" s="67"/>
      <c r="M8" s="65"/>
    </row>
    <row r="9" spans="1:13" ht="47.25">
      <c r="A9" s="110" t="s">
        <v>170</v>
      </c>
      <c r="B9" s="78" t="s">
        <v>173</v>
      </c>
      <c r="C9" s="79" t="s">
        <v>177</v>
      </c>
      <c r="D9" s="56" t="s">
        <v>178</v>
      </c>
      <c r="E9" s="57" t="s">
        <v>191</v>
      </c>
      <c r="F9" s="58" t="s">
        <v>198</v>
      </c>
      <c r="G9" s="69" t="s">
        <v>215</v>
      </c>
      <c r="H9" s="69" t="s">
        <v>207</v>
      </c>
      <c r="I9" s="69" t="s">
        <v>218</v>
      </c>
      <c r="J9" s="130" t="s">
        <v>172</v>
      </c>
      <c r="K9" s="69">
        <v>9.31</v>
      </c>
      <c r="L9" s="69" t="s">
        <v>127</v>
      </c>
      <c r="M9" s="70" t="s">
        <v>221</v>
      </c>
    </row>
    <row r="10" spans="1:13" ht="63">
      <c r="A10" s="110"/>
      <c r="B10" s="71"/>
      <c r="C10" s="72"/>
      <c r="D10" s="59" t="s">
        <v>179</v>
      </c>
      <c r="E10" s="73" t="s">
        <v>193</v>
      </c>
      <c r="F10" s="60" t="s">
        <v>200</v>
      </c>
      <c r="G10" s="74"/>
      <c r="H10" s="74"/>
      <c r="I10" s="74"/>
      <c r="J10" s="131"/>
      <c r="K10" s="74"/>
      <c r="L10" s="74"/>
      <c r="M10" s="74"/>
    </row>
    <row r="11" spans="1:13" ht="173.25">
      <c r="A11" s="110"/>
      <c r="B11" s="71"/>
      <c r="C11" s="72"/>
      <c r="D11" s="59" t="s">
        <v>180</v>
      </c>
      <c r="E11" s="57" t="s">
        <v>196</v>
      </c>
      <c r="F11" s="68" t="s">
        <v>202</v>
      </c>
      <c r="G11" s="74"/>
      <c r="H11" s="74"/>
      <c r="I11" s="74"/>
      <c r="J11" s="131"/>
      <c r="K11" s="74"/>
      <c r="L11" s="74"/>
      <c r="M11" s="74"/>
    </row>
    <row r="12" spans="1:13" ht="47.25">
      <c r="A12" s="110"/>
      <c r="B12" s="75"/>
      <c r="C12" s="76"/>
      <c r="D12" s="59" t="s">
        <v>190</v>
      </c>
      <c r="E12" s="57" t="s">
        <v>210</v>
      </c>
      <c r="F12" s="68" t="s">
        <v>204</v>
      </c>
      <c r="G12" s="77"/>
      <c r="H12" s="77"/>
      <c r="I12" s="77"/>
      <c r="J12" s="132"/>
      <c r="K12" s="77"/>
      <c r="L12" s="77"/>
      <c r="M12" s="77"/>
    </row>
  </sheetData>
  <mergeCells count="23">
    <mergeCell ref="A9:A12"/>
    <mergeCell ref="J9:J12"/>
    <mergeCell ref="I1:I2"/>
    <mergeCell ref="J1:J2"/>
    <mergeCell ref="K1:K2"/>
    <mergeCell ref="I4:I7"/>
    <mergeCell ref="J4:J7"/>
    <mergeCell ref="K4:K7"/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L4:L7"/>
    <mergeCell ref="M4:M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Livestock Poultry_drought</vt:lpstr>
      <vt:lpstr>Sheet2</vt:lpstr>
      <vt:lpstr>Pivot_LP_drought</vt:lpstr>
      <vt:lpstr>summary_drought_livestock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2020-06-16T06:12:31Z</dcterms:created>
  <dcterms:modified xsi:type="dcterms:W3CDTF">2020-06-25T19:51:34Z</dcterms:modified>
</cp:coreProperties>
</file>