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50" activeTab="3"/>
  </bookViews>
  <sheets>
    <sheet name="Livestock and Poultry_SS" sheetId="28" r:id="rId1"/>
    <sheet name="Sheet1" sheetId="34" r:id="rId2"/>
    <sheet name="Pivot_SS" sheetId="29" r:id="rId3"/>
    <sheet name="Sum_SS" sheetId="33" r:id="rId4"/>
  </sheets>
  <externalReferences>
    <externalReference r:id="rId5"/>
  </externalReferences>
  <definedNames>
    <definedName name="_xlnm._FilterDatabase" localSheetId="0" hidden="1">'Livestock and Poultry_SS'!$F$1:$F$34</definedName>
  </definedNames>
  <calcPr calcId="144525"/>
  <pivotCaches>
    <pivotCache cacheId="2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31" i="28" l="1"/>
  <c r="AW31" i="28" s="1"/>
  <c r="AQ31" i="28"/>
  <c r="AA31" i="28"/>
  <c r="AC31" i="28" s="1"/>
  <c r="Y31" i="28"/>
  <c r="G31" i="28"/>
  <c r="AV29" i="28"/>
  <c r="AW29" i="28" s="1"/>
  <c r="AQ29" i="28"/>
  <c r="AA29" i="28"/>
  <c r="AC29" i="28" s="1"/>
  <c r="AS29" i="28" s="1"/>
  <c r="AT29" i="28" s="1"/>
  <c r="W29" i="28"/>
  <c r="S29" i="28"/>
  <c r="G29" i="28"/>
  <c r="Y29" i="28" s="1"/>
  <c r="AV27" i="28"/>
  <c r="AW27" i="28" s="1"/>
  <c r="AQ27" i="28"/>
  <c r="AA27" i="28"/>
  <c r="AC27" i="28" s="1"/>
  <c r="W27" i="28"/>
  <c r="S27" i="28"/>
  <c r="G27" i="28"/>
  <c r="Y27" i="28" s="1"/>
  <c r="AV21" i="28"/>
  <c r="AW21" i="28" s="1"/>
  <c r="AQ21" i="28"/>
  <c r="AA21" i="28"/>
  <c r="AC21" i="28" s="1"/>
  <c r="AS21" i="28" s="1"/>
  <c r="AT21" i="28" s="1"/>
  <c r="S21" i="28"/>
  <c r="G21" i="28"/>
  <c r="Y21" i="28" s="1"/>
  <c r="Y18" i="28"/>
  <c r="AV17" i="28"/>
  <c r="AW17" i="28" s="1"/>
  <c r="AQ17" i="28"/>
  <c r="AA17" i="28"/>
  <c r="AC17" i="28" s="1"/>
  <c r="S17" i="28"/>
  <c r="G17" i="28"/>
  <c r="Y17" i="28" s="1"/>
  <c r="AV14" i="28"/>
  <c r="AW14" i="28" s="1"/>
  <c r="AQ14" i="28"/>
  <c r="AA14" i="28"/>
  <c r="AC14" i="28" s="1"/>
  <c r="Y14" i="28"/>
  <c r="W14" i="28"/>
  <c r="S14" i="28"/>
  <c r="G14" i="28"/>
  <c r="AV13" i="28"/>
  <c r="AW13" i="28" s="1"/>
  <c r="AQ13" i="28"/>
  <c r="AA13" i="28"/>
  <c r="AC13" i="28" s="1"/>
  <c r="W13" i="28"/>
  <c r="S13" i="28"/>
  <c r="Q13" i="28"/>
  <c r="G13" i="28"/>
  <c r="Y13" i="28" s="1"/>
  <c r="AV9" i="28"/>
  <c r="AW9" i="28" s="1"/>
  <c r="AQ9" i="28"/>
  <c r="AA9" i="28"/>
  <c r="AC9" i="28" s="1"/>
  <c r="W9" i="28"/>
  <c r="S9" i="28"/>
  <c r="G9" i="28"/>
  <c r="Y9" i="28" s="1"/>
  <c r="AV7" i="28"/>
  <c r="AW7" i="28" s="1"/>
  <c r="AQ7" i="28"/>
  <c r="AA7" i="28"/>
  <c r="AC7" i="28" s="1"/>
  <c r="W7" i="28"/>
  <c r="S7" i="28"/>
  <c r="G7" i="28"/>
  <c r="Y7" i="28" s="1"/>
  <c r="AV6" i="28"/>
  <c r="AW6" i="28" s="1"/>
  <c r="AQ6" i="28"/>
  <c r="AA6" i="28"/>
  <c r="AC6" i="28" s="1"/>
  <c r="W6" i="28"/>
  <c r="S6" i="28"/>
  <c r="G6" i="28"/>
  <c r="Y6" i="28" s="1"/>
  <c r="AS27" i="28" l="1"/>
  <c r="AT27" i="28" s="1"/>
  <c r="AS31" i="28"/>
  <c r="AT31" i="28" s="1"/>
  <c r="AD31" i="28"/>
  <c r="AS6" i="28"/>
  <c r="AT6" i="28" s="1"/>
  <c r="AD6" i="28"/>
  <c r="AD17" i="28"/>
  <c r="AS17" i="28"/>
  <c r="AT17" i="28" s="1"/>
  <c r="AS9" i="28"/>
  <c r="AT9" i="28" s="1"/>
  <c r="AD9" i="28"/>
  <c r="AD13" i="28"/>
  <c r="AS13" i="28"/>
  <c r="AT13" i="28" s="1"/>
  <c r="AD14" i="28"/>
  <c r="AS14" i="28"/>
  <c r="AT14" i="28" s="1"/>
  <c r="AS7" i="28"/>
  <c r="AT7" i="28" s="1"/>
  <c r="AD7" i="28"/>
  <c r="AD21" i="28"/>
  <c r="AD27" i="28"/>
  <c r="AD29" i="28"/>
</calcChain>
</file>

<file path=xl/sharedStrings.xml><?xml version="1.0" encoding="utf-8"?>
<sst xmlns="http://schemas.openxmlformats.org/spreadsheetml/2006/main" count="484" uniqueCount="201">
  <si>
    <t>ECONOMIC SECTOR: AGRICULTURE AND FISHERIES</t>
  </si>
  <si>
    <t>Climate Variable</t>
  </si>
  <si>
    <t>HAZARD</t>
  </si>
  <si>
    <t>EXPOSURE</t>
  </si>
  <si>
    <t>Summary of Findings (Exposure)</t>
  </si>
  <si>
    <t>SENSITIVITY</t>
  </si>
  <si>
    <t>Summary of Findings (Sensitivity)</t>
  </si>
  <si>
    <t>Degree of Impact</t>
  </si>
  <si>
    <t>ADAPTIVE CAPACITY</t>
  </si>
  <si>
    <t>Summary of Findings (Adaptive Capacity)</t>
  </si>
  <si>
    <t>Vulnerability Score</t>
  </si>
  <si>
    <t>Vulnerabilty Category</t>
  </si>
  <si>
    <t>Severity of Consequence Score</t>
  </si>
  <si>
    <t>Risk Score</t>
  </si>
  <si>
    <t>Risk Category</t>
  </si>
  <si>
    <t>Hazard</t>
  </si>
  <si>
    <t>Likelihood of Occurrence</t>
  </si>
  <si>
    <t>Magnitude or Depth</t>
  </si>
  <si>
    <t>Geographical Area or Ecosystem</t>
  </si>
  <si>
    <t>Barangay</t>
  </si>
  <si>
    <t>No. of Livestock Farming Dependent Households</t>
  </si>
  <si>
    <t>Total Area allocation (hectares)</t>
  </si>
  <si>
    <t xml:space="preserve">Dominant Livestock </t>
  </si>
  <si>
    <t>Ave. Output per head (Php)</t>
  </si>
  <si>
    <t>Area affected by hazard</t>
  </si>
  <si>
    <t>Exposure Percentage</t>
  </si>
  <si>
    <t>Exposure Score</t>
  </si>
  <si>
    <t>Percentage of Poor Households</t>
  </si>
  <si>
    <t>Percentage of farmers without access to hazard information</t>
  </si>
  <si>
    <t>Percentage of areas without technical support</t>
  </si>
  <si>
    <t>Percentage of areas with infrastructure coverage</t>
  </si>
  <si>
    <t>Percentage of areas without water and electricity</t>
  </si>
  <si>
    <t>Percentage of farmers without alternative livelihood</t>
  </si>
  <si>
    <t>Average Sensitivity Score</t>
  </si>
  <si>
    <t>Wealth</t>
  </si>
  <si>
    <t>Technology</t>
  </si>
  <si>
    <t>Infrastructure</t>
  </si>
  <si>
    <t>Information</t>
  </si>
  <si>
    <t>Institutional/Government Investments</t>
  </si>
  <si>
    <t>Social</t>
  </si>
  <si>
    <t>Ave. Adaptive Capacity</t>
  </si>
  <si>
    <t>(Be consistent with the city-wide hazards)</t>
  </si>
  <si>
    <t>Score (1-6)</t>
  </si>
  <si>
    <t>input will depend on what type of hazard</t>
  </si>
  <si>
    <t>No. HH dependent on agriculture</t>
  </si>
  <si>
    <t>Area of agricultural lands (hectares)</t>
  </si>
  <si>
    <t>list dominant</t>
  </si>
  <si>
    <t>Exposed agricultural lands (hectares)</t>
  </si>
  <si>
    <t>Exposed area divided by total agricultural area</t>
  </si>
  <si>
    <t>%</t>
  </si>
  <si>
    <t>Sensitivity Score</t>
  </si>
  <si>
    <t>Total Sensitivity divided number of indicators</t>
  </si>
  <si>
    <t>Score</t>
  </si>
  <si>
    <t>Category</t>
  </si>
  <si>
    <t>Description</t>
  </si>
  <si>
    <t>Adaptive Capacity Score</t>
  </si>
  <si>
    <t>Adaptive Capavity Score</t>
  </si>
  <si>
    <t>Adaptive capacity score</t>
  </si>
  <si>
    <t>Total score divided total number of inidicators</t>
  </si>
  <si>
    <t>Degree of Impact/Average Adaptive Capacity</t>
  </si>
  <si>
    <t>Severity multiplied by likelihood</t>
  </si>
  <si>
    <t>See Scoring</t>
  </si>
  <si>
    <t>Lowland</t>
  </si>
  <si>
    <t xml:space="preserve">Ambago </t>
  </si>
  <si>
    <t>Goat</t>
  </si>
  <si>
    <t>Rehab seeds from Department of Agriculture, PCIC, SURE Loan, Sure AID Loan</t>
  </si>
  <si>
    <t>IEC on Climate Smart Agriculture, research study on flood reselient variety</t>
  </si>
  <si>
    <t>hand tractor, MPDPs, Manual thresher</t>
  </si>
  <si>
    <t xml:space="preserve">Primitive Early Warning System (batingaw,bell, kampana) `IEC materials, signages, social media, text messages, tv, radios
</t>
  </si>
  <si>
    <t xml:space="preserve">Forced evacuation ordinance, contingency plan, DRRMP
</t>
  </si>
  <si>
    <t>FAs, IAs, LFTs, Agricultural Technologist</t>
  </si>
  <si>
    <t>Cattle</t>
  </si>
  <si>
    <t>IEC on Climate Smart Agriculture, research study on flood reselient variety, Organic Agriculture Technology</t>
  </si>
  <si>
    <t>Baan Km. 3</t>
  </si>
  <si>
    <t>Broilers</t>
  </si>
  <si>
    <t>IEC on Climate Smart Agriculture, research study on flood reselient varietyOrganic Agriculture Technology</t>
  </si>
  <si>
    <t>floating tiller, hand tractor, MPDP, manual thresher</t>
  </si>
  <si>
    <t>Fighting Cocks</t>
  </si>
  <si>
    <t>upland</t>
  </si>
  <si>
    <t>Bancasi</t>
  </si>
  <si>
    <t>hand tractor, rice mills, corn mills, MPDP</t>
  </si>
  <si>
    <t>lowland</t>
  </si>
  <si>
    <t>Hogs</t>
  </si>
  <si>
    <t>Bit-os</t>
  </si>
  <si>
    <t>chicken</t>
  </si>
  <si>
    <t xml:space="preserve">IEC on Climate Smart Agriculture, research study on flood reselient variety, Organic Agriculture Technology
</t>
  </si>
  <si>
    <t>hand tractor, corn mills, MPDPs, mechanical dryers, manual thresher, mechanical threshers</t>
  </si>
  <si>
    <t>Cabcabon</t>
  </si>
  <si>
    <t>Layers</t>
  </si>
  <si>
    <t>hand tractor, rice mills, MPDPs, manual thresher, corn sheller</t>
  </si>
  <si>
    <t>PCIC</t>
  </si>
  <si>
    <t>Florida</t>
  </si>
  <si>
    <t>IEC, research study on salinity reselient variety</t>
  </si>
  <si>
    <t>hand tractor, rice mills, corn mills, MPDPs, manual thresher, mechanical threshers</t>
  </si>
  <si>
    <t xml:space="preserve"> </t>
  </si>
  <si>
    <t>Kinamlutan</t>
  </si>
  <si>
    <t>Gamefowl</t>
  </si>
  <si>
    <t>hand tractor, rice mills, corn mills, MPDPs, mechanical dryers, manual thresher, mechanical threshers</t>
  </si>
  <si>
    <t xml:space="preserve">Libertad </t>
  </si>
  <si>
    <t>Tiniwisan</t>
  </si>
  <si>
    <t>four wheel drive tarctor, hand tractor, rice mills, corn mills, MPDPs, mechanical dryers, manual thresher, mechanical threshers, corn sheller</t>
  </si>
  <si>
    <t>Tungao</t>
  </si>
  <si>
    <t>Sow</t>
  </si>
  <si>
    <t xml:space="preserve">IEC, Organic Agriculture Technology
</t>
  </si>
  <si>
    <t>Piglet</t>
  </si>
  <si>
    <t>Boar</t>
  </si>
  <si>
    <t>Fattening</t>
  </si>
  <si>
    <t>MEDIUM HIGH</t>
  </si>
  <si>
    <t>MEDIUM LOW</t>
  </si>
  <si>
    <t>Moderate</t>
  </si>
  <si>
    <t>MEDIUM</t>
  </si>
  <si>
    <t>LOW</t>
  </si>
  <si>
    <t>LOW RISK</t>
  </si>
  <si>
    <t>MODERATE RISK</t>
  </si>
  <si>
    <t>Sector</t>
  </si>
  <si>
    <t>Sub-sector</t>
  </si>
  <si>
    <t>SS_Percentage of Poor Households</t>
  </si>
  <si>
    <t>SS_Percentage of Poor Households_score</t>
  </si>
  <si>
    <t>SS_Percentage of farmers without access to hazard information</t>
  </si>
  <si>
    <t>SS_Percentage of farmers without access to hazard information_score</t>
  </si>
  <si>
    <t>SS_Percentage of areas without technical support</t>
  </si>
  <si>
    <t>SS_Percentage of areas without technical support_score</t>
  </si>
  <si>
    <t>SS_Percentage of areas with infrastructure coverage</t>
  </si>
  <si>
    <t>SS_Percentage of areas with infrastructure coverage_score</t>
  </si>
  <si>
    <t>SS_Percentage of areas without water and electricity</t>
  </si>
  <si>
    <t>SS_Percentage of areas without water and electricity_score</t>
  </si>
  <si>
    <t>SS_Percentage of farmers without alternative livelihood</t>
  </si>
  <si>
    <t>SS_Percentage of farmers without alternative livelihood_score</t>
  </si>
  <si>
    <t>AC_Wealth</t>
  </si>
  <si>
    <t>AC_Wealth_score</t>
  </si>
  <si>
    <t>AC_Technology_score</t>
  </si>
  <si>
    <t>AC_Technology</t>
  </si>
  <si>
    <t>AC_Infrastructure</t>
  </si>
  <si>
    <t>AC_Infrastructure_score</t>
  </si>
  <si>
    <t>AC_nformation</t>
  </si>
  <si>
    <t>AC_nformation_score</t>
  </si>
  <si>
    <t>AC_Institutional/Government Investments</t>
  </si>
  <si>
    <t>AC_Institutional/Government Investments_score</t>
  </si>
  <si>
    <t>AC_Social</t>
  </si>
  <si>
    <t>AC_Social_score</t>
  </si>
  <si>
    <t>AC_score</t>
  </si>
  <si>
    <t>Economic</t>
  </si>
  <si>
    <t>Agriculture</t>
  </si>
  <si>
    <t>SUMMARY</t>
  </si>
  <si>
    <t>Degree of Impact/Threat level</t>
  </si>
  <si>
    <t>AC Level</t>
  </si>
  <si>
    <t>Summary and Findings</t>
  </si>
  <si>
    <t>Risk Level</t>
  </si>
  <si>
    <t>Impact</t>
  </si>
  <si>
    <t>Exposure</t>
  </si>
  <si>
    <t>Sensitivity</t>
  </si>
  <si>
    <t xml:space="preserve">Economic
sub sector: Agriculture
</t>
  </si>
  <si>
    <t xml:space="preserve">Lowland
</t>
  </si>
  <si>
    <t>Upland</t>
  </si>
  <si>
    <t>Row Labels</t>
  </si>
  <si>
    <t>Grand Total</t>
  </si>
  <si>
    <t>Low  self- esteem of livestock growers</t>
  </si>
  <si>
    <t>Low supply of meat products thus high market price due to high demand</t>
  </si>
  <si>
    <t>Low supply of dairy products thus
higher price of basic commodities
Delays delivery of products due to transport problems
Damage agricultural infrastructure</t>
  </si>
  <si>
    <t>Layers
Hogs</t>
  </si>
  <si>
    <t>Cattle
Gamefowl</t>
  </si>
  <si>
    <t>Sow
Piglet
Boar
Fattening</t>
  </si>
  <si>
    <t>Broilers
Fighting Cocks</t>
  </si>
  <si>
    <t>Low income and profit for livestock growers</t>
  </si>
  <si>
    <t>SS_Score</t>
  </si>
  <si>
    <t>Risk level for lowland areas is moderate</t>
  </si>
  <si>
    <t>Sea Level Rise</t>
  </si>
  <si>
    <t>High</t>
  </si>
  <si>
    <t>Low</t>
  </si>
  <si>
    <t>HIgh</t>
  </si>
  <si>
    <t>Risk level for lowland areas is Low</t>
  </si>
  <si>
    <t>3.02= Moderate</t>
  </si>
  <si>
    <t>The degree of impact and adaptive capacity is moderate with low vulnerability</t>
  </si>
  <si>
    <t>Storm Surge</t>
  </si>
  <si>
    <t xml:space="preserve">6 brgys
</t>
  </si>
  <si>
    <t>4 brgys</t>
  </si>
  <si>
    <t xml:space="preserve">2,400  HH are dependedent to livestock farming </t>
  </si>
  <si>
    <t xml:space="preserve">1,669 HH are dependedent to livestock farming </t>
  </si>
  <si>
    <t xml:space="preserve">473.45 hectares are affected </t>
  </si>
  <si>
    <t xml:space="preserve">122.31 hectares are affected </t>
  </si>
  <si>
    <t>0.19% of the agricultural area</t>
  </si>
  <si>
    <t>Php 7,101,500.00 average income per year</t>
  </si>
  <si>
    <t>Php 2,307,000 annual income per hectare per year</t>
  </si>
  <si>
    <t>2.55% of the farmers does not have access to hazard information</t>
  </si>
  <si>
    <t>1.9% of the farmers does not have access to hazard information</t>
  </si>
  <si>
    <t>4.07% area are with infrastructure coverage</t>
  </si>
  <si>
    <t>2.42% area are with infrastructure coverage</t>
  </si>
  <si>
    <t xml:space="preserve">
4.99% of the population without water/electrical connection</t>
  </si>
  <si>
    <t>3.85% of the population without water/electrical connection</t>
  </si>
  <si>
    <t>2.38% of poor household</t>
  </si>
  <si>
    <t>2.20% of poor household</t>
  </si>
  <si>
    <t>3.45= Moderate</t>
  </si>
  <si>
    <t>2.57= Low</t>
  </si>
  <si>
    <t>3.08= Moderate</t>
  </si>
  <si>
    <t xml:space="preserve">1.14= Low </t>
  </si>
  <si>
    <t>0.83= Low</t>
  </si>
  <si>
    <t>The degree of impact and adaptive capacity were low and moderate with low vulnerability</t>
  </si>
  <si>
    <t>1.38% of the agricultural area</t>
  </si>
  <si>
    <t>VERY HIGH RISK</t>
  </si>
  <si>
    <t>Average of Risk Score</t>
  </si>
  <si>
    <t>Very 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</si>
</sst>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"/>
    <numFmt numFmtId="166" formatCode="0.0%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2"/>
      <name val="Calibri Light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BC4B7"/>
        <bgColor indexed="64"/>
      </patternFill>
    </fill>
    <fill>
      <patternFill patternType="solid">
        <fgColor rgb="FFA7D8C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3EBE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7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0" xfId="1" applyFont="1" applyAlignment="1">
      <alignment vertical="center"/>
    </xf>
    <xf numFmtId="10" fontId="4" fillId="0" borderId="0" xfId="0" applyNumberFormat="1" applyFont="1" applyAlignment="1">
      <alignment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164" fontId="5" fillId="4" borderId="9" xfId="1" applyFont="1" applyFill="1" applyBorder="1" applyAlignment="1">
      <alignment horizontal="center" vertical="center" wrapText="1"/>
    </xf>
    <xf numFmtId="10" fontId="5" fillId="4" borderId="9" xfId="0" applyNumberFormat="1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/>
    </xf>
    <xf numFmtId="164" fontId="6" fillId="8" borderId="15" xfId="1" applyFont="1" applyFill="1" applyBorder="1" applyAlignment="1">
      <alignment horizontal="center" vertical="center" wrapText="1"/>
    </xf>
    <xf numFmtId="10" fontId="6" fillId="8" borderId="15" xfId="0" applyNumberFormat="1" applyFont="1" applyFill="1" applyBorder="1" applyAlignment="1">
      <alignment horizontal="center" vertical="center" wrapText="1"/>
    </xf>
    <xf numFmtId="165" fontId="6" fillId="8" borderId="15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 wrapText="1"/>
    </xf>
    <xf numFmtId="164" fontId="7" fillId="0" borderId="9" xfId="1" applyFont="1" applyBorder="1" applyAlignment="1">
      <alignment vertical="center"/>
    </xf>
    <xf numFmtId="10" fontId="7" fillId="0" borderId="9" xfId="0" applyNumberFormat="1" applyFont="1" applyBorder="1" applyAlignment="1">
      <alignment vertical="center"/>
    </xf>
    <xf numFmtId="166" fontId="7" fillId="0" borderId="9" xfId="0" applyNumberFormat="1" applyFont="1" applyBorder="1" applyAlignment="1">
      <alignment vertical="center"/>
    </xf>
    <xf numFmtId="165" fontId="7" fillId="0" borderId="9" xfId="0" applyNumberFormat="1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2" fontId="7" fillId="0" borderId="9" xfId="0" applyNumberFormat="1" applyFont="1" applyBorder="1" applyAlignment="1">
      <alignment vertical="center"/>
    </xf>
    <xf numFmtId="0" fontId="9" fillId="0" borderId="9" xfId="3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9" xfId="0" applyNumberFormat="1" applyFont="1" applyBorder="1" applyAlignment="1">
      <alignment vertical="center"/>
    </xf>
    <xf numFmtId="9" fontId="7" fillId="0" borderId="9" xfId="2" applyFont="1" applyBorder="1" applyAlignment="1">
      <alignment vertical="center"/>
    </xf>
    <xf numFmtId="3" fontId="7" fillId="0" borderId="9" xfId="0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4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164" fontId="5" fillId="0" borderId="9" xfId="1" applyFont="1" applyFill="1" applyBorder="1" applyAlignment="1">
      <alignment horizontal="center" vertical="center" wrapText="1"/>
    </xf>
    <xf numFmtId="10" fontId="5" fillId="0" borderId="9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165" fontId="5" fillId="0" borderId="6" xfId="0" applyNumberFormat="1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1" fillId="0" borderId="0" xfId="0" applyFont="1"/>
    <xf numFmtId="0" fontId="10" fillId="10" borderId="8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10" borderId="18" xfId="0" applyFont="1" applyFill="1" applyBorder="1" applyAlignment="1">
      <alignment horizontal="center" vertical="center" wrapText="1"/>
    </xf>
    <xf numFmtId="0" fontId="12" fillId="8" borderId="8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12" fillId="8" borderId="18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1" fillId="0" borderId="21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0" fontId="11" fillId="0" borderId="23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center"/>
    </xf>
    <xf numFmtId="0" fontId="11" fillId="0" borderId="15" xfId="0" applyFont="1" applyBorder="1" applyAlignment="1">
      <alignment wrapText="1"/>
    </xf>
    <xf numFmtId="0" fontId="11" fillId="0" borderId="0" xfId="0" applyFont="1" applyBorder="1"/>
    <xf numFmtId="0" fontId="11" fillId="0" borderId="24" xfId="0" applyFont="1" applyBorder="1"/>
    <xf numFmtId="0" fontId="11" fillId="0" borderId="9" xfId="0" applyFont="1" applyBorder="1" applyAlignment="1">
      <alignment horizontal="left" vertical="center"/>
    </xf>
    <xf numFmtId="0" fontId="11" fillId="0" borderId="16" xfId="0" applyFont="1" applyBorder="1"/>
    <xf numFmtId="0" fontId="11" fillId="0" borderId="25" xfId="0" applyFont="1" applyBorder="1"/>
    <xf numFmtId="0" fontId="11" fillId="0" borderId="26" xfId="0" applyFont="1" applyBorder="1"/>
    <xf numFmtId="0" fontId="11" fillId="0" borderId="12" xfId="0" applyFont="1" applyBorder="1"/>
    <xf numFmtId="0" fontId="11" fillId="0" borderId="22" xfId="0" applyFont="1" applyBorder="1" applyAlignment="1">
      <alignment horizontal="center" vertical="top"/>
    </xf>
    <xf numFmtId="0" fontId="11" fillId="0" borderId="23" xfId="0" applyFont="1" applyBorder="1" applyAlignment="1">
      <alignment horizontal="center" vertical="top"/>
    </xf>
    <xf numFmtId="0" fontId="3" fillId="0" borderId="0" xfId="0" applyFont="1" applyFill="1" applyAlignment="1">
      <alignment vertical="center"/>
    </xf>
    <xf numFmtId="0" fontId="5" fillId="0" borderId="15" xfId="0" applyFont="1" applyFill="1" applyBorder="1" applyAlignment="1">
      <alignment horizontal="center" vertical="center" wrapText="1"/>
    </xf>
    <xf numFmtId="164" fontId="7" fillId="0" borderId="9" xfId="1" applyFont="1" applyFill="1" applyBorder="1" applyAlignment="1">
      <alignment vertical="center"/>
    </xf>
    <xf numFmtId="10" fontId="7" fillId="0" borderId="9" xfId="0" applyNumberFormat="1" applyFont="1" applyFill="1" applyBorder="1" applyAlignment="1">
      <alignment vertical="center"/>
    </xf>
    <xf numFmtId="166" fontId="7" fillId="0" borderId="9" xfId="0" applyNumberFormat="1" applyFont="1" applyFill="1" applyBorder="1" applyAlignment="1">
      <alignment vertical="center"/>
    </xf>
    <xf numFmtId="9" fontId="0" fillId="0" borderId="9" xfId="2" applyFont="1" applyFill="1" applyBorder="1" applyAlignment="1">
      <alignment vertical="center"/>
    </xf>
    <xf numFmtId="2" fontId="7" fillId="0" borderId="9" xfId="2" applyNumberFormat="1" applyFont="1" applyFill="1" applyBorder="1" applyAlignment="1">
      <alignment vertical="center"/>
    </xf>
    <xf numFmtId="165" fontId="7" fillId="0" borderId="9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/>
    </xf>
    <xf numFmtId="2" fontId="7" fillId="0" borderId="9" xfId="0" applyNumberFormat="1" applyFont="1" applyFill="1" applyBorder="1" applyAlignment="1">
      <alignment vertical="center"/>
    </xf>
    <xf numFmtId="0" fontId="7" fillId="0" borderId="9" xfId="0" applyNumberFormat="1" applyFont="1" applyFill="1" applyBorder="1" applyAlignment="1">
      <alignment vertical="center"/>
    </xf>
    <xf numFmtId="9" fontId="7" fillId="0" borderId="9" xfId="2" applyFont="1" applyFill="1" applyBorder="1" applyAlignment="1">
      <alignment vertical="center"/>
    </xf>
    <xf numFmtId="10" fontId="0" fillId="0" borderId="9" xfId="0" applyNumberForma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10" fontId="7" fillId="0" borderId="9" xfId="2" applyNumberFormat="1" applyFont="1" applyFill="1" applyBorder="1" applyAlignment="1">
      <alignment vertical="center"/>
    </xf>
    <xf numFmtId="9" fontId="13" fillId="0" borderId="9" xfId="2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0" fontId="7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13" fillId="0" borderId="9" xfId="0" applyNumberFormat="1" applyFont="1" applyBorder="1" applyAlignment="1">
      <alignment vertical="center"/>
    </xf>
    <xf numFmtId="164" fontId="7" fillId="0" borderId="0" xfId="1" applyFont="1" applyAlignment="1">
      <alignment vertical="center"/>
    </xf>
    <xf numFmtId="0" fontId="7" fillId="0" borderId="0" xfId="0" applyFont="1" applyFill="1" applyAlignment="1">
      <alignment vertical="center"/>
    </xf>
    <xf numFmtId="2" fontId="4" fillId="0" borderId="9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0" fontId="7" fillId="0" borderId="15" xfId="0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9" fontId="13" fillId="0" borderId="15" xfId="2" applyFont="1" applyBorder="1" applyAlignment="1">
      <alignment vertical="center"/>
    </xf>
    <xf numFmtId="2" fontId="7" fillId="0" borderId="10" xfId="0" applyNumberFormat="1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9" fontId="7" fillId="0" borderId="9" xfId="0" applyNumberFormat="1" applyFont="1" applyBorder="1" applyAlignment="1">
      <alignment vertical="center"/>
    </xf>
    <xf numFmtId="9" fontId="7" fillId="0" borderId="15" xfId="0" applyNumberFormat="1" applyFont="1" applyBorder="1" applyAlignment="1">
      <alignment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top" wrapText="1"/>
    </xf>
    <xf numFmtId="0" fontId="14" fillId="0" borderId="9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165" fontId="5" fillId="6" borderId="6" xfId="0" applyNumberFormat="1" applyFont="1" applyFill="1" applyBorder="1" applyAlignment="1">
      <alignment horizontal="center" vertical="center" wrapText="1"/>
    </xf>
    <xf numFmtId="165" fontId="5" fillId="6" borderId="12" xfId="0" applyNumberFormat="1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9" borderId="17" xfId="0" applyFont="1" applyFill="1" applyBorder="1" applyAlignment="1">
      <alignment horizontal="center" vertical="center" wrapText="1"/>
    </xf>
    <xf numFmtId="0" fontId="10" fillId="9" borderId="18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17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8" xfId="0" applyFont="1" applyFill="1" applyBorder="1" applyAlignment="1">
      <alignment horizontal="center" vertical="center" wrapText="1"/>
    </xf>
    <xf numFmtId="0" fontId="10" fillId="11" borderId="17" xfId="0" applyFont="1" applyFill="1" applyBorder="1" applyAlignment="1">
      <alignment horizontal="center" vertical="center" wrapText="1"/>
    </xf>
    <xf numFmtId="0" fontId="10" fillId="11" borderId="18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0" fillId="12" borderId="1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10" fillId="12" borderId="17" xfId="0" applyFont="1" applyFill="1" applyBorder="1" applyAlignment="1">
      <alignment horizontal="center" vertical="center" wrapText="1"/>
    </xf>
    <xf numFmtId="0" fontId="10" fillId="12" borderId="18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0" fillId="0" borderId="0" xfId="0" applyAlignment="1">
      <alignment horizontal="left" indent="1"/>
    </xf>
  </cellXfs>
  <cellStyles count="4">
    <cellStyle name="Comma" xfId="1" builtinId="3"/>
    <cellStyle name="Neutral" xfId="3" builtinId="2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IDALOR%20FILES%202020\Planning\Feb.26,%202020\Farming%20Househol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6">
          <cell r="I6">
            <v>30</v>
          </cell>
        </row>
        <row r="12">
          <cell r="I12">
            <v>210</v>
          </cell>
        </row>
        <row r="14">
          <cell r="I14">
            <v>400</v>
          </cell>
        </row>
        <row r="20">
          <cell r="I20">
            <v>89</v>
          </cell>
        </row>
        <row r="24">
          <cell r="I24">
            <v>300</v>
          </cell>
        </row>
        <row r="32">
          <cell r="I32">
            <v>500</v>
          </cell>
        </row>
        <row r="33">
          <cell r="I33">
            <v>360</v>
          </cell>
        </row>
        <row r="35">
          <cell r="I35">
            <v>1150</v>
          </cell>
        </row>
        <row r="61">
          <cell r="I61">
            <v>350</v>
          </cell>
        </row>
        <row r="62">
          <cell r="I62">
            <v>680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4006.405485763891" createdVersion="6" refreshedVersion="6" minRefreshableVersion="3" recordCount="10">
  <cacheSource type="worksheet">
    <worksheetSource ref="A1:AX11" sheet="Pivot_SS"/>
  </cacheSource>
  <cacheFields count="50">
    <cacheField name="Sector" numFmtId="0">
      <sharedItems/>
    </cacheField>
    <cacheField name="Sub-sector" numFmtId="0">
      <sharedItems/>
    </cacheField>
    <cacheField name="Hazard" numFmtId="0">
      <sharedItems/>
    </cacheField>
    <cacheField name="Likelihood of Occurrence" numFmtId="0">
      <sharedItems containsSemiMixedTypes="0" containsString="0" containsNumber="1" containsInteger="1" minValue="2" maxValue="2"/>
    </cacheField>
    <cacheField name="Magnitude or Depth" numFmtId="0">
      <sharedItems/>
    </cacheField>
    <cacheField name="Geographical Area or Ecosystem" numFmtId="0">
      <sharedItems count="2">
        <s v="Lowland"/>
        <s v="upland"/>
      </sharedItems>
    </cacheField>
    <cacheField name="Barangay" numFmtId="0">
      <sharedItems count="10">
        <s v="Ambago "/>
        <s v="Baan Km. 3"/>
        <s v="Bancasi"/>
        <s v="Bit-os"/>
        <s v="Cabcabon"/>
        <s v="Florida"/>
        <s v="Kinamlutan"/>
        <s v="Libertad "/>
        <s v="Tiniwisan"/>
        <s v="Tungao"/>
      </sharedItems>
    </cacheField>
    <cacheField name="No. of Livestock Farming Dependent Households" numFmtId="0">
      <sharedItems containsSemiMixedTypes="0" containsString="0" containsNumber="1" containsInteger="1" minValue="30" maxValue="1150"/>
    </cacheField>
    <cacheField name="Total Area allocation (hectares)" numFmtId="0">
      <sharedItems containsSemiMixedTypes="0" containsString="0" containsNumber="1" minValue="354.8775" maxValue="1995.4369999999999"/>
    </cacheField>
    <cacheField name="Dominant Livestock " numFmtId="0">
      <sharedItems/>
    </cacheField>
    <cacheField name="Ave. Output per head (Php)" numFmtId="164">
      <sharedItems containsSemiMixedTypes="0" containsString="0" containsNumber="1" containsInteger="1" minValue="350000" maxValue="26500000"/>
    </cacheField>
    <cacheField name="Area affected by hazard" numFmtId="0">
      <sharedItems containsSemiMixedTypes="0" containsString="0" containsNumber="1" minValue="5.49" maxValue="180.69"/>
    </cacheField>
    <cacheField name="Exposure Percentage" numFmtId="10">
      <sharedItems containsSemiMixedTypes="0" containsString="0" containsNumber="1" minValue="3.5000000000000001E-3" maxValue="0.52449999999999997"/>
    </cacheField>
    <cacheField name="Exposure Score" numFmtId="0">
      <sharedItems containsSemiMixedTypes="0" containsString="0" containsNumber="1" containsInteger="1" minValue="1" maxValue="3"/>
    </cacheField>
    <cacheField name="Summary of Findings (Exposure)" numFmtId="0">
      <sharedItems containsNonDate="0" containsString="0" containsBlank="1"/>
    </cacheField>
    <cacheField name="SS_Percentage of Poor Households" numFmtId="0">
      <sharedItems containsSemiMixedTypes="0" containsString="0" containsNumber="1" minValue="0.13721404093729739" maxValue="0.61360832011281508"/>
    </cacheField>
    <cacheField name="SS_Percentage of Poor Households_score" numFmtId="0">
      <sharedItems containsSemiMixedTypes="0" containsString="0" containsNumber="1" containsInteger="1" minValue="2" maxValue="5"/>
    </cacheField>
    <cacheField name="SS_Percentage of farmers without access to hazard information" numFmtId="0">
      <sharedItems containsSemiMixedTypes="0" containsString="0" containsNumber="1" minValue="0.19999999999999996" maxValue="0.55000000000000004"/>
    </cacheField>
    <cacheField name="SS_Percentage of farmers without access to hazard information_score" numFmtId="0">
      <sharedItems containsSemiMixedTypes="0" containsString="0" containsNumber="1" containsInteger="1" minValue="3" maxValue="5"/>
    </cacheField>
    <cacheField name="SS_Percentage of areas without technical support" numFmtId="0">
      <sharedItems containsSemiMixedTypes="0" containsString="0" containsNumber="1" minValue="0.19999999999999996" maxValue="0.41000000000000003"/>
    </cacheField>
    <cacheField name="SS_Percentage of areas without technical support_score" numFmtId="0">
      <sharedItems containsSemiMixedTypes="0" containsString="0" containsNumber="1" containsInteger="1" minValue="1" maxValue="3"/>
    </cacheField>
    <cacheField name="SS_Percentage of areas with infrastructure coverage" numFmtId="0">
      <sharedItems containsSemiMixedTypes="0" containsString="0" containsNumber="1" minValue="0.45" maxValue="0.89"/>
    </cacheField>
    <cacheField name="SS_Percentage of areas with infrastructure coverage_score" numFmtId="0">
      <sharedItems containsSemiMixedTypes="0" containsString="0" containsNumber="1" containsInteger="1" minValue="4" maxValue="5"/>
    </cacheField>
    <cacheField name="SS_Percentage of areas without water and electricity" numFmtId="0">
      <sharedItems containsSemiMixedTypes="0" containsString="0" containsNumber="1" minValue="0.73256460127813305" maxValue="1"/>
    </cacheField>
    <cacheField name="SS_Percentage of areas without water and electricity_score" numFmtId="0">
      <sharedItems containsSemiMixedTypes="0" containsString="0" containsNumber="1" containsInteger="1" minValue="1" maxValue="2"/>
    </cacheField>
    <cacheField name="SS_Percentage of farmers without alternative livelihood" numFmtId="0">
      <sharedItems containsSemiMixedTypes="0" containsString="0" containsNumber="1" minValue="0.06" maxValue="0.68"/>
    </cacheField>
    <cacheField name="SS_Percentage of farmers without alternative livelihood_score" numFmtId="0">
      <sharedItems containsSemiMixedTypes="0" containsString="0" containsNumber="1" containsInteger="1" minValue="1" maxValue="5"/>
    </cacheField>
    <cacheField name="SS_Score" numFmtId="2">
      <sharedItems containsSemiMixedTypes="0" containsString="0" containsNumber="1" minValue="2.6666666666666665" maxValue="3.8333333333333335"/>
    </cacheField>
    <cacheField name="Summary of Findings (Sensitivity)" numFmtId="0">
      <sharedItems containsNonDate="0" containsString="0" containsBlank="1"/>
    </cacheField>
    <cacheField name="Degree of Impact" numFmtId="0">
      <sharedItems containsSemiMixedTypes="0" containsString="0" containsNumber="1" minValue="2.1" maxValue="3.8"/>
    </cacheField>
    <cacheField name="Category" numFmtId="0">
      <sharedItems/>
    </cacheField>
    <cacheField name="AC_Wealth" numFmtId="0">
      <sharedItems/>
    </cacheField>
    <cacheField name="AC_Wealth_score" numFmtId="0">
      <sharedItems containsSemiMixedTypes="0" containsString="0" containsNumber="1" containsInteger="1" minValue="3" maxValue="4"/>
    </cacheField>
    <cacheField name="AC_Technology" numFmtId="0">
      <sharedItems/>
    </cacheField>
    <cacheField name="AC_Technology_score" numFmtId="0">
      <sharedItems containsSemiMixedTypes="0" containsString="0" containsNumber="1" containsInteger="1" minValue="2" maxValue="4"/>
    </cacheField>
    <cacheField name="AC_Infrastructure" numFmtId="0">
      <sharedItems/>
    </cacheField>
    <cacheField name="AC_Infrastructure_score" numFmtId="0">
      <sharedItems containsSemiMixedTypes="0" containsString="0" containsNumber="1" containsInteger="1" minValue="3" maxValue="3"/>
    </cacheField>
    <cacheField name="AC_nformation" numFmtId="0">
      <sharedItems/>
    </cacheField>
    <cacheField name="AC_nformation_score" numFmtId="0">
      <sharedItems containsSemiMixedTypes="0" containsString="0" containsNumber="1" containsInteger="1" minValue="3" maxValue="4"/>
    </cacheField>
    <cacheField name="AC_Institutional/Government Investments" numFmtId="0">
      <sharedItems/>
    </cacheField>
    <cacheField name="AC_Institutional/Government Investments_score" numFmtId="0">
      <sharedItems containsSemiMixedTypes="0" containsString="0" containsNumber="1" containsInteger="1" minValue="3" maxValue="3"/>
    </cacheField>
    <cacheField name="AC_Social" numFmtId="0">
      <sharedItems/>
    </cacheField>
    <cacheField name="AC_Social_score" numFmtId="0">
      <sharedItems containsSemiMixedTypes="0" containsString="0" containsNumber="1" containsInteger="1" minValue="3" maxValue="3"/>
    </cacheField>
    <cacheField name="AC_score" numFmtId="0">
      <sharedItems containsSemiMixedTypes="0" containsString="0" containsNumber="1" minValue="3" maxValue="3.3333333333333335"/>
    </cacheField>
    <cacheField name="Summary of Findings (Adaptive Capacity)" numFmtId="0">
      <sharedItems containsNonDate="0" containsString="0" containsBlank="1"/>
    </cacheField>
    <cacheField name="Vulnerability Score" numFmtId="0">
      <sharedItems containsSemiMixedTypes="0" containsString="0" containsNumber="1" minValue="0.70000000000000007" maxValue="1.2666666666666666"/>
    </cacheField>
    <cacheField name="Vulnerabilty Category" numFmtId="0">
      <sharedItems/>
    </cacheField>
    <cacheField name="Severity of Consequence Score" numFmtId="0">
      <sharedItems containsSemiMixedTypes="0" containsString="0" containsNumber="1" containsInteger="1" minValue="1" maxValue="4"/>
    </cacheField>
    <cacheField name="Risk Score" numFmtId="0">
      <sharedItems containsSemiMixedTypes="0" containsString="0" containsNumber="1" containsInteger="1" minValue="3" maxValue="12"/>
    </cacheField>
    <cacheField name="Risk Category" numFmtId="0">
      <sharedItems count="2">
        <s v="MODERATE RISK"/>
        <s v="LOW RISK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s v="Economic"/>
    <s v="Agriculture"/>
    <s v="Storm Surge"/>
    <n v="2"/>
    <s v="HIgh"/>
    <x v="0"/>
    <x v="0"/>
    <n v="30"/>
    <n v="354.8775"/>
    <s v="Goat"/>
    <n v="750000"/>
    <n v="180.69"/>
    <n v="0.52449999999999997"/>
    <n v="3"/>
    <m/>
    <n v="0.30831226295828068"/>
    <n v="3"/>
    <n v="0.44999999999999996"/>
    <n v="4"/>
    <n v="0.24"/>
    <n v="1"/>
    <n v="0.7"/>
    <n v="5"/>
    <n v="0.76296355117922698"/>
    <n v="2"/>
    <n v="0.06"/>
    <n v="1"/>
    <n v="2.6666666666666665"/>
    <m/>
    <n v="3.7"/>
    <s v="MEDIUM HIGH"/>
    <s v="Rehab seeds from Department of Agriculture, PCIC, SURE Loan, Sure AID Loan"/>
    <n v="3"/>
    <s v="IEC on Climate Smart Agriculture, research study on flood reselient variety"/>
    <n v="3"/>
    <s v="hand tractor, MPDPs, Manual thresher"/>
    <n v="3"/>
    <s v="Primitive Early Warning System (batingaw,bell, kampana) `IEC materials, signages, social media, text messages, tv, radios_x000a_"/>
    <n v="4"/>
    <s v="Forced evacuation ordinance, contingency plan, DRRMP_x000a_"/>
    <n v="3"/>
    <s v="FAs, IAs, LFTs, Agricultural Technologist"/>
    <n v="3"/>
    <n v="3.1666666666666665"/>
    <m/>
    <n v="1.2"/>
    <s v="MEDIUM LOW"/>
    <n v="4"/>
    <n v="12"/>
    <x v="0"/>
  </r>
  <r>
    <s v="Economic"/>
    <s v="Agriculture"/>
    <s v="Storm Surge"/>
    <n v="2"/>
    <s v="Low"/>
    <x v="0"/>
    <x v="1"/>
    <n v="210"/>
    <n v="831.52300000000002"/>
    <s v="Broilers_x000a_Fighting Cocks"/>
    <n v="3150000"/>
    <n v="98.59"/>
    <n v="0.21229999999999999"/>
    <n v="2"/>
    <m/>
    <n v="0.48387755102040814"/>
    <n v="4"/>
    <n v="0.19999999999999996"/>
    <n v="3"/>
    <n v="0.19999999999999996"/>
    <n v="1"/>
    <n v="0.89"/>
    <n v="5"/>
    <n v="0.73424584481379407"/>
    <n v="2"/>
    <n v="0.105"/>
    <n v="1"/>
    <n v="2.6666666666666665"/>
    <m/>
    <n v="3.6"/>
    <s v="MEDIUM HIGH"/>
    <s v="Rehab seeds from Department of Agriculture, PCIC, SURE Loan, Sure AID Loan"/>
    <n v="3"/>
    <s v="IEC on Climate Smart Agriculture, research study on flood reselient varietyOrganic Agriculture Technology"/>
    <n v="3"/>
    <s v="floating tiller, hand tractor, MPDP, manu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2"/>
    <s v="MEDIUM LOW"/>
    <n v="3"/>
    <n v="9"/>
    <x v="0"/>
  </r>
  <r>
    <s v="Economic"/>
    <s v="Agriculture"/>
    <s v="Storm Surge"/>
    <n v="2"/>
    <s v="HIgh"/>
    <x v="1"/>
    <x v="2"/>
    <n v="400"/>
    <n v="761.83199999999999"/>
    <s v="Cattle"/>
    <n v="1908000"/>
    <n v="100.56"/>
    <n v="0.16769999999999999"/>
    <n v="1"/>
    <m/>
    <n v="0.53782851075126092"/>
    <n v="5"/>
    <n v="0.44999999999999996"/>
    <n v="4"/>
    <n v="0.32999999999999996"/>
    <n v="2"/>
    <n v="0.87"/>
    <n v="5"/>
    <n v="0.89571428571428602"/>
    <n v="1"/>
    <n v="0.2"/>
    <n v="2"/>
    <n v="3.1666666666666665"/>
    <m/>
    <n v="3.2"/>
    <s v="MEDIUM HIGH"/>
    <s v="Rehab seeds from Department of Agriculture, PCIC, SURE Loan, Sure AID Loan"/>
    <n v="3"/>
    <s v="IEC on Climate Smart Agriculture, research study on flood reselient variety"/>
    <n v="3"/>
    <s v="hand tractor, rice mills, corn mills, MPDP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0666666666666667"/>
    <s v="MEDIUM LOW"/>
    <n v="2"/>
    <n v="6"/>
    <x v="1"/>
  </r>
  <r>
    <s v="Economic"/>
    <s v="Agriculture"/>
    <s v="Storm Surge"/>
    <n v="2"/>
    <s v="Low"/>
    <x v="1"/>
    <x v="3"/>
    <n v="89"/>
    <n v="699.63199999999995"/>
    <s v="chicken"/>
    <n v="6000000"/>
    <n v="10.44"/>
    <n v="1.7500000000000002E-2"/>
    <n v="1"/>
    <m/>
    <n v="0.51080380293863437"/>
    <n v="4"/>
    <n v="0.44999999999999996"/>
    <n v="4"/>
    <n v="0.25"/>
    <n v="1"/>
    <n v="0.64"/>
    <n v="5"/>
    <n v="0.95365079365079375"/>
    <n v="1"/>
    <n v="0.17799999999999999"/>
    <n v="2"/>
    <n v="2.8333333333333335"/>
    <m/>
    <n v="2.1"/>
    <s v="MEDIUM"/>
    <s v="Rehab seeds from Department of Agriculture, PCIC, SURE Loan, Sure AID Loan"/>
    <n v="3"/>
    <s v="IEC on Climate Smart Agriculture, research study on flood reselient variety, Organic Agriculture Technology_x000a_"/>
    <n v="3"/>
    <s v="hand tractor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70000000000000007"/>
    <s v="LOW"/>
    <n v="1"/>
    <n v="3"/>
    <x v="1"/>
  </r>
  <r>
    <s v="Economic"/>
    <s v="Agriculture"/>
    <s v="Storm Surge"/>
    <n v="2"/>
    <s v="Low"/>
    <x v="0"/>
    <x v="4"/>
    <n v="300"/>
    <n v="690.81399999999996"/>
    <s v="Layers_x000a__x000a_Hogs"/>
    <n v="8000000"/>
    <n v="36.409999999999997"/>
    <n v="6.25E-2"/>
    <n v="1"/>
    <m/>
    <n v="0.57031554343591739"/>
    <n v="4"/>
    <n v="0.44999999999999996"/>
    <n v="4"/>
    <n v="0.33999999999999997"/>
    <n v="2"/>
    <n v="0.53"/>
    <n v="5"/>
    <n v="0.90708729472774419"/>
    <n v="1"/>
    <n v="0.3"/>
    <n v="3"/>
    <n v="3.1666666666666665"/>
    <m/>
    <n v="3.7"/>
    <s v="MEDIUM HIGH"/>
    <s v="Rehab seeds from Department of Agriculture, PCIC, SURE Loan, Sure AID Loan"/>
    <n v="3"/>
    <s v="IEC on Climate Smart Agriculture, research study on flood reselient variety, Organic Agriculture Technology"/>
    <n v="3"/>
    <s v="hand tractor, rice mills, MPDPs, manual thresher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2333333333333334"/>
    <s v="MEDIUM LOW"/>
    <n v="1"/>
    <n v="3"/>
    <x v="1"/>
  </r>
  <r>
    <s v="Economic"/>
    <s v="Agriculture"/>
    <s v="Storm Surge"/>
    <n v="2"/>
    <s v="HIgh"/>
    <x v="1"/>
    <x v="5"/>
    <n v="500"/>
    <n v="1995.4369999999999"/>
    <s v="Hogs"/>
    <n v="350000"/>
    <n v="5.49"/>
    <n v="3.5000000000000001E-3"/>
    <n v="1"/>
    <m/>
    <n v="0.53847703464947627"/>
    <n v="5"/>
    <n v="0.44999999999999996"/>
    <n v="4"/>
    <n v="0.41000000000000003"/>
    <n v="3"/>
    <n v="0.45"/>
    <n v="4"/>
    <n v="1"/>
    <n v="1"/>
    <n v="0.5"/>
    <n v="5"/>
    <n v="3.6666666666666665"/>
    <m/>
    <n v="2.7"/>
    <s v="MEDIUM"/>
    <s v="PCIC"/>
    <n v="4"/>
    <s v="IEC, research study on salinity reselient variety"/>
    <n v="4"/>
    <s v="hand tractor, rice mills, corn mills, MPDP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0.81"/>
    <s v="LOW"/>
    <n v="1"/>
    <n v="3"/>
    <x v="1"/>
  </r>
  <r>
    <s v="Economic"/>
    <s v="Agriculture"/>
    <s v="Storm Surge"/>
    <n v="2"/>
    <s v="Moderate"/>
    <x v="0"/>
    <x v="6"/>
    <n v="360"/>
    <n v="696.03599999999994"/>
    <s v="Gamefowl"/>
    <n v="2700000"/>
    <n v="36.35"/>
    <n v="0.16900000000000001"/>
    <n v="1"/>
    <m/>
    <n v="0.44053464266230224"/>
    <n v="4"/>
    <n v="0.44999999999999996"/>
    <n v="4"/>
    <n v="0.36"/>
    <n v="2"/>
    <n v="0.6"/>
    <n v="5"/>
    <n v="1"/>
    <n v="1"/>
    <n v="0.36"/>
    <n v="4"/>
    <n v="3.3333333333333335"/>
    <m/>
    <n v="2.2000000000000002"/>
    <s v="MEDIUM"/>
    <s v="Rehab seeds from Department of Agriculture, PCIC, SURE Loan, Sure AID Loan"/>
    <n v="3"/>
    <s v="IEC on Climate Smart Agriculture, research study on flood reselient variety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73333333333333339"/>
    <s v="LOW"/>
    <n v="2"/>
    <n v="6"/>
    <x v="1"/>
  </r>
  <r>
    <s v="Economic"/>
    <s v="Agriculture"/>
    <s v="Storm Surge"/>
    <n v="2"/>
    <s v="Moderate"/>
    <x v="0"/>
    <x v="7"/>
    <n v="1150"/>
    <n v="390.36799999999999"/>
    <s v="Cattle_x000a__x000a_Gamefowl"/>
    <n v="1509000"/>
    <n v="107.15"/>
    <n v="0.37219999999999998"/>
    <n v="2"/>
    <m/>
    <n v="0.13721404093729739"/>
    <n v="2"/>
    <n v="0.44999999999999996"/>
    <n v="4"/>
    <n v="0.19999999999999996"/>
    <n v="1"/>
    <n v="0.68"/>
    <n v="5"/>
    <n v="0.73256460127813305"/>
    <n v="2"/>
    <n v="0.46"/>
    <n v="4"/>
    <n v="3"/>
    <m/>
    <n v="3.7"/>
    <s v="MEDIUM HIGH"/>
    <s v="Rehab seeds from Department of Agriculture, PCIC, SURE Loan, Sure AID Loan"/>
    <n v="3"/>
    <s v="IEC on Climate Smart Agriculture, research study on flood reselient variety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2333333333333334"/>
    <s v="MEDIUM LOW"/>
    <n v="3"/>
    <n v="9"/>
    <x v="0"/>
  </r>
  <r>
    <s v="Economic"/>
    <s v="Agriculture"/>
    <s v="Storm Surge"/>
    <n v="2"/>
    <s v="Low"/>
    <x v="0"/>
    <x v="8"/>
    <n v="350"/>
    <n v="511.495"/>
    <s v="Layers"/>
    <n v="26500000"/>
    <n v="14.26"/>
    <n v="4.2200000000000001E-2"/>
    <n v="1"/>
    <m/>
    <n v="0.44053464266230224"/>
    <n v="4"/>
    <n v="0.55000000000000004"/>
    <n v="5"/>
    <n v="0.23499999999999999"/>
    <n v="2"/>
    <n v="0.67"/>
    <n v="5"/>
    <n v="0.86061102018548796"/>
    <n v="1"/>
    <n v="0.21"/>
    <n v="2"/>
    <n v="3.1666666666666665"/>
    <m/>
    <n v="3.8"/>
    <s v="MEDIUM HIGH"/>
    <s v="Rehab seeds from Department of Agriculture, PCIC, SURE Loan, Sure AID Loan"/>
    <n v="3"/>
    <s v="IEC on Climate Smart Agriculture, research study on flood reselient variety, Organic Agriculture Technology_x000a_"/>
    <n v="3"/>
    <s v="four wheel drive tarctor, hand tractor, rice mills, corn mills, MPDPs, mechanical dryers, manual thresher, mechanical threshers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2666666666666666"/>
    <s v="MEDIUM LOW"/>
    <n v="1"/>
    <n v="3"/>
    <x v="1"/>
  </r>
  <r>
    <s v="Economic"/>
    <s v="Agriculture"/>
    <s v="Storm Surge"/>
    <n v="2"/>
    <s v="Moderate"/>
    <x v="1"/>
    <x v="9"/>
    <n v="680"/>
    <n v="1021.4001000000001"/>
    <s v="Sow_x000a_Piglet_x000a_Boar_x000a_Fattening"/>
    <n v="970000"/>
    <n v="5.82"/>
    <n v="5.7999999999999996E-3"/>
    <n v="1"/>
    <m/>
    <n v="0.61360832011281508"/>
    <n v="5"/>
    <n v="0.55000000000000004"/>
    <n v="5"/>
    <n v="0.39"/>
    <n v="3"/>
    <n v="0.46"/>
    <n v="4"/>
    <n v="1"/>
    <n v="1"/>
    <n v="0.68"/>
    <n v="5"/>
    <n v="3.8333333333333335"/>
    <m/>
    <n v="2.2999999999999998"/>
    <s v="MEDIUM"/>
    <s v="PCIC"/>
    <n v="4"/>
    <s v="IEC, Organic Agriculture Technology_x000a_"/>
    <n v="2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76666666666666661"/>
    <s v="LOW"/>
    <n v="1"/>
    <n v="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9" firstHeaderRow="1" firstDataRow="1" firstDataCol="1"/>
  <pivotFields count="50"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numFmtId="164" showAll="0"/>
    <pivotField showAll="0"/>
    <pivotField numFmtId="1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3">
        <item x="1"/>
        <item x="0"/>
        <item t="default"/>
      </items>
    </pivotField>
  </pivotFields>
  <rowFields count="2">
    <field x="5"/>
    <field x="49"/>
  </rowFields>
  <rowItems count="6">
    <i>
      <x/>
    </i>
    <i r="1">
      <x/>
    </i>
    <i r="1">
      <x v="1"/>
    </i>
    <i>
      <x v="1"/>
    </i>
    <i r="1">
      <x/>
    </i>
    <i t="grand">
      <x/>
    </i>
  </rowItems>
  <colItems count="1">
    <i/>
  </colItems>
  <dataFields count="1">
    <dataField name="Average of Risk Score" fld="48" subtotal="average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W34"/>
  <sheetViews>
    <sheetView topLeftCell="A30" zoomScale="77" zoomScaleNormal="77" workbookViewId="0">
      <selection activeCell="AW6" sqref="AW6:AW31"/>
    </sheetView>
  </sheetViews>
  <sheetFormatPr defaultColWidth="9.140625" defaultRowHeight="14.25"/>
  <cols>
    <col min="1" max="1" width="10.7109375" style="2" customWidth="1"/>
    <col min="2" max="2" width="14.7109375" style="2" customWidth="1"/>
    <col min="3" max="4" width="12.7109375" style="2" customWidth="1"/>
    <col min="5" max="6" width="20.7109375" style="2" customWidth="1"/>
    <col min="7" max="7" width="18.5703125" style="2" customWidth="1"/>
    <col min="8" max="8" width="12.7109375" style="2" customWidth="1"/>
    <col min="9" max="9" width="14.7109375" style="3" customWidth="1"/>
    <col min="10" max="10" width="21.7109375" style="4" customWidth="1"/>
    <col min="11" max="11" width="12.7109375" style="2" customWidth="1"/>
    <col min="12" max="12" width="12.7109375" style="5" customWidth="1"/>
    <col min="13" max="13" width="12.7109375" style="2" customWidth="1"/>
    <col min="14" max="14" width="20.7109375" style="2" customWidth="1"/>
    <col min="15" max="24" width="12.7109375" style="2" customWidth="1"/>
    <col min="25" max="25" width="18.5703125" style="2" customWidth="1"/>
    <col min="26" max="27" width="12.7109375" style="2" customWidth="1"/>
    <col min="28" max="28" width="20.7109375" style="2" customWidth="1"/>
    <col min="29" max="34" width="12.7109375" style="2" customWidth="1"/>
    <col min="35" max="35" width="13.28515625" style="2" customWidth="1"/>
    <col min="36" max="41" width="12.7109375" style="2" customWidth="1"/>
    <col min="42" max="42" width="20.7109375" style="2" customWidth="1"/>
    <col min="43" max="45" width="12.7109375" style="2" customWidth="1"/>
    <col min="46" max="46" width="19.140625" style="2" customWidth="1"/>
    <col min="47" max="47" width="12.7109375" style="2" customWidth="1"/>
    <col min="48" max="48" width="9.140625" style="2"/>
    <col min="49" max="49" width="23.140625" style="2" customWidth="1"/>
    <col min="50" max="16384" width="9.140625" style="2"/>
  </cols>
  <sheetData>
    <row r="1" spans="1:49" ht="15">
      <c r="A1" s="1" t="s">
        <v>0</v>
      </c>
    </row>
    <row r="2" spans="1:49" ht="15" thickBot="1"/>
    <row r="3" spans="1:49" ht="21.75" customHeight="1">
      <c r="A3" s="114" t="s">
        <v>1</v>
      </c>
      <c r="B3" s="116" t="s">
        <v>2</v>
      </c>
      <c r="C3" s="116"/>
      <c r="D3" s="116"/>
      <c r="E3" s="117" t="s">
        <v>3</v>
      </c>
      <c r="F3" s="117"/>
      <c r="G3" s="117"/>
      <c r="H3" s="117"/>
      <c r="I3" s="117"/>
      <c r="J3" s="117"/>
      <c r="K3" s="117"/>
      <c r="L3" s="117"/>
      <c r="M3" s="117"/>
      <c r="N3" s="117" t="s">
        <v>4</v>
      </c>
      <c r="O3" s="119" t="s">
        <v>5</v>
      </c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 t="s">
        <v>6</v>
      </c>
      <c r="AC3" s="127" t="s">
        <v>7</v>
      </c>
      <c r="AD3" s="127"/>
      <c r="AE3" s="129" t="s">
        <v>8</v>
      </c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1"/>
      <c r="AR3" s="132" t="s">
        <v>9</v>
      </c>
      <c r="AS3" s="134" t="s">
        <v>10</v>
      </c>
      <c r="AT3" s="134" t="s">
        <v>11</v>
      </c>
      <c r="AU3" s="134" t="s">
        <v>12</v>
      </c>
      <c r="AV3" s="120" t="s">
        <v>13</v>
      </c>
      <c r="AW3" s="122" t="s">
        <v>14</v>
      </c>
    </row>
    <row r="4" spans="1:49" ht="93" customHeight="1">
      <c r="A4" s="115"/>
      <c r="B4" s="6" t="s">
        <v>15</v>
      </c>
      <c r="C4" s="6" t="s">
        <v>16</v>
      </c>
      <c r="D4" s="6" t="s">
        <v>17</v>
      </c>
      <c r="E4" s="110" t="s">
        <v>18</v>
      </c>
      <c r="F4" s="7" t="s">
        <v>19</v>
      </c>
      <c r="G4" s="110" t="s">
        <v>20</v>
      </c>
      <c r="H4" s="110" t="s">
        <v>21</v>
      </c>
      <c r="I4" s="110" t="s">
        <v>22</v>
      </c>
      <c r="J4" s="8" t="s">
        <v>23</v>
      </c>
      <c r="K4" s="110" t="s">
        <v>24</v>
      </c>
      <c r="L4" s="9" t="s">
        <v>25</v>
      </c>
      <c r="M4" s="110" t="s">
        <v>26</v>
      </c>
      <c r="N4" s="118"/>
      <c r="O4" s="124" t="s">
        <v>27</v>
      </c>
      <c r="P4" s="124"/>
      <c r="Q4" s="124" t="s">
        <v>28</v>
      </c>
      <c r="R4" s="124"/>
      <c r="S4" s="124" t="s">
        <v>29</v>
      </c>
      <c r="T4" s="124"/>
      <c r="U4" s="124" t="s">
        <v>30</v>
      </c>
      <c r="V4" s="124"/>
      <c r="W4" s="124" t="s">
        <v>31</v>
      </c>
      <c r="X4" s="124"/>
      <c r="Y4" s="125" t="s">
        <v>32</v>
      </c>
      <c r="Z4" s="126"/>
      <c r="AA4" s="111" t="s">
        <v>33</v>
      </c>
      <c r="AB4" s="124"/>
      <c r="AC4" s="128"/>
      <c r="AD4" s="128"/>
      <c r="AE4" s="10" t="s">
        <v>34</v>
      </c>
      <c r="AF4" s="10"/>
      <c r="AG4" s="10" t="s">
        <v>35</v>
      </c>
      <c r="AH4" s="10"/>
      <c r="AI4" s="10" t="s">
        <v>36</v>
      </c>
      <c r="AJ4" s="10"/>
      <c r="AK4" s="10" t="s">
        <v>37</v>
      </c>
      <c r="AL4" s="10"/>
      <c r="AM4" s="10" t="s">
        <v>38</v>
      </c>
      <c r="AN4" s="10"/>
      <c r="AO4" s="10" t="s">
        <v>39</v>
      </c>
      <c r="AP4" s="10"/>
      <c r="AQ4" s="10" t="s">
        <v>40</v>
      </c>
      <c r="AR4" s="133"/>
      <c r="AS4" s="135"/>
      <c r="AT4" s="136"/>
      <c r="AU4" s="135"/>
      <c r="AV4" s="121"/>
      <c r="AW4" s="123"/>
    </row>
    <row r="5" spans="1:49" ht="90">
      <c r="A5" s="11" t="s">
        <v>41</v>
      </c>
      <c r="B5" s="12"/>
      <c r="C5" s="12" t="s">
        <v>42</v>
      </c>
      <c r="D5" s="12" t="s">
        <v>43</v>
      </c>
      <c r="E5" s="12"/>
      <c r="F5" s="13"/>
      <c r="G5" s="12" t="s">
        <v>44</v>
      </c>
      <c r="H5" s="12" t="s">
        <v>45</v>
      </c>
      <c r="I5" s="12" t="s">
        <v>46</v>
      </c>
      <c r="J5" s="14"/>
      <c r="K5" s="12" t="s">
        <v>47</v>
      </c>
      <c r="L5" s="15" t="s">
        <v>48</v>
      </c>
      <c r="M5" s="12"/>
      <c r="N5" s="12"/>
      <c r="O5" s="12" t="s">
        <v>49</v>
      </c>
      <c r="P5" s="12" t="s">
        <v>50</v>
      </c>
      <c r="Q5" s="12" t="s">
        <v>49</v>
      </c>
      <c r="R5" s="12" t="s">
        <v>50</v>
      </c>
      <c r="S5" s="12" t="s">
        <v>49</v>
      </c>
      <c r="T5" s="12" t="s">
        <v>50</v>
      </c>
      <c r="U5" s="12" t="s">
        <v>49</v>
      </c>
      <c r="V5" s="12" t="s">
        <v>50</v>
      </c>
      <c r="W5" s="12" t="s">
        <v>49</v>
      </c>
      <c r="X5" s="12" t="s">
        <v>50</v>
      </c>
      <c r="Y5" s="12" t="s">
        <v>49</v>
      </c>
      <c r="Z5" s="12" t="s">
        <v>50</v>
      </c>
      <c r="AA5" s="12" t="s">
        <v>51</v>
      </c>
      <c r="AB5" s="12"/>
      <c r="AC5" s="12" t="s">
        <v>52</v>
      </c>
      <c r="AD5" s="12" t="s">
        <v>53</v>
      </c>
      <c r="AE5" s="15" t="s">
        <v>54</v>
      </c>
      <c r="AF5" s="12" t="s">
        <v>55</v>
      </c>
      <c r="AG5" s="15" t="s">
        <v>54</v>
      </c>
      <c r="AH5" s="12" t="s">
        <v>55</v>
      </c>
      <c r="AI5" s="15" t="s">
        <v>54</v>
      </c>
      <c r="AJ5" s="12" t="s">
        <v>56</v>
      </c>
      <c r="AK5" s="15" t="s">
        <v>54</v>
      </c>
      <c r="AL5" s="12" t="s">
        <v>55</v>
      </c>
      <c r="AM5" s="12" t="s">
        <v>54</v>
      </c>
      <c r="AN5" s="12" t="s">
        <v>57</v>
      </c>
      <c r="AO5" s="12" t="s">
        <v>54</v>
      </c>
      <c r="AP5" s="12" t="s">
        <v>57</v>
      </c>
      <c r="AQ5" s="12" t="s">
        <v>58</v>
      </c>
      <c r="AR5" s="12"/>
      <c r="AS5" s="12" t="s">
        <v>59</v>
      </c>
      <c r="AT5" s="12"/>
      <c r="AU5" s="12"/>
      <c r="AV5" s="16" t="s">
        <v>60</v>
      </c>
      <c r="AW5" s="12" t="s">
        <v>61</v>
      </c>
    </row>
    <row r="6" spans="1:49" s="32" customFormat="1" ht="225">
      <c r="A6" s="28"/>
      <c r="B6" s="28" t="s">
        <v>173</v>
      </c>
      <c r="C6" s="28">
        <v>2</v>
      </c>
      <c r="D6" s="28" t="s">
        <v>169</v>
      </c>
      <c r="E6" s="28" t="s">
        <v>62</v>
      </c>
      <c r="F6" s="18" t="s">
        <v>63</v>
      </c>
      <c r="G6" s="28">
        <f>[1]Sheet1!$I$6</f>
        <v>30</v>
      </c>
      <c r="H6" s="28">
        <v>354.8775</v>
      </c>
      <c r="I6" s="19" t="s">
        <v>64</v>
      </c>
      <c r="J6" s="78">
        <v>750000</v>
      </c>
      <c r="K6" s="28">
        <v>180.69</v>
      </c>
      <c r="L6" s="79">
        <v>0.52449999999999997</v>
      </c>
      <c r="M6" s="28">
        <v>3</v>
      </c>
      <c r="N6" s="28"/>
      <c r="O6" s="79">
        <v>0.30831226295828068</v>
      </c>
      <c r="P6" s="28">
        <v>3</v>
      </c>
      <c r="Q6" s="79">
        <v>0.44999999999999996</v>
      </c>
      <c r="R6" s="28">
        <v>4</v>
      </c>
      <c r="S6" s="80">
        <f>1-76%</f>
        <v>0.24</v>
      </c>
      <c r="T6" s="28">
        <v>1</v>
      </c>
      <c r="U6" s="79">
        <v>0.7</v>
      </c>
      <c r="V6" s="28">
        <v>5</v>
      </c>
      <c r="W6" s="81">
        <f>1-23.7036448820773%</f>
        <v>0.76296355117922698</v>
      </c>
      <c r="X6" s="28">
        <v>2</v>
      </c>
      <c r="Y6" s="82">
        <f>G6*0.2</f>
        <v>6</v>
      </c>
      <c r="Z6" s="28">
        <v>1</v>
      </c>
      <c r="AA6" s="86">
        <f>(P6+R6+T6+V6+X6+Z6)/6</f>
        <v>2.6666666666666665</v>
      </c>
      <c r="AB6" s="113"/>
      <c r="AC6" s="83">
        <f>(M6+AA6)/2</f>
        <v>2.833333333333333</v>
      </c>
      <c r="AD6" s="28" t="str">
        <f>IF(AC6&lt;=1,"LOW", IF(AC6&lt;=2,"MEDIUM LOW", IF(AC6&lt;=3,"MEDIUM", IF(AC6&lt;=4,"MEDIUM HIGH", "HIGH"))))</f>
        <v>MEDIUM</v>
      </c>
      <c r="AE6" s="84" t="s">
        <v>65</v>
      </c>
      <c r="AF6" s="85">
        <v>3</v>
      </c>
      <c r="AG6" s="84" t="s">
        <v>66</v>
      </c>
      <c r="AH6" s="28">
        <v>3</v>
      </c>
      <c r="AI6" s="84" t="s">
        <v>67</v>
      </c>
      <c r="AJ6" s="28">
        <v>3</v>
      </c>
      <c r="AK6" s="84" t="s">
        <v>68</v>
      </c>
      <c r="AL6" s="28">
        <v>4</v>
      </c>
      <c r="AM6" s="84" t="s">
        <v>69</v>
      </c>
      <c r="AN6" s="28">
        <v>3</v>
      </c>
      <c r="AO6" s="84" t="s">
        <v>70</v>
      </c>
      <c r="AP6" s="84">
        <v>3</v>
      </c>
      <c r="AQ6" s="86">
        <f>(AF6+AH6+AJ6+AL6+AN6+AP6)/6</f>
        <v>3.1666666666666665</v>
      </c>
      <c r="AR6" s="28"/>
      <c r="AS6" s="83">
        <f>AC6/AQ6</f>
        <v>0.89473684210526305</v>
      </c>
      <c r="AT6" s="83" t="str">
        <f>IF(AS6&lt;=1,"LOW", IF(AS6&lt;=2,"MEDIUM LOW", IF(AS6&lt;=3,"MEDIUM", IF(AS6&lt;=4,"MEDIUM HIGH", "HIGH"))))</f>
        <v>LOW</v>
      </c>
      <c r="AU6" s="86">
        <v>4</v>
      </c>
      <c r="AV6" s="83">
        <f>AU6*C6</f>
        <v>8</v>
      </c>
      <c r="AW6" s="28" t="str">
        <f>IF(AV6&lt;=2,"LOW RISK", IF(AV6&lt;=4,"MODERATE RISK", IF(AV6&lt;=6,"HIGH RISK","VERY HIGH RISK")))</f>
        <v>VERY HIGH RISK</v>
      </c>
    </row>
    <row r="7" spans="1:49" s="32" customFormat="1" ht="225">
      <c r="A7" s="28"/>
      <c r="B7" s="28" t="s">
        <v>166</v>
      </c>
      <c r="C7" s="28">
        <v>2</v>
      </c>
      <c r="D7" s="28" t="s">
        <v>168</v>
      </c>
      <c r="E7" s="28" t="s">
        <v>62</v>
      </c>
      <c r="F7" s="18" t="s">
        <v>73</v>
      </c>
      <c r="G7" s="28">
        <f>[1]Sheet1!$I$12</f>
        <v>210</v>
      </c>
      <c r="H7" s="28">
        <v>831.52300000000002</v>
      </c>
      <c r="I7" s="19" t="s">
        <v>74</v>
      </c>
      <c r="J7" s="78">
        <v>3000000</v>
      </c>
      <c r="K7" s="27">
        <v>98.59</v>
      </c>
      <c r="L7" s="79">
        <v>0.21229999999999999</v>
      </c>
      <c r="M7" s="28">
        <v>2</v>
      </c>
      <c r="N7" s="28"/>
      <c r="O7" s="79">
        <v>0.48387755102040814</v>
      </c>
      <c r="P7" s="28">
        <v>4</v>
      </c>
      <c r="Q7" s="79">
        <v>0.19999999999999996</v>
      </c>
      <c r="R7" s="28">
        <v>3</v>
      </c>
      <c r="S7" s="80">
        <f>1-80%</f>
        <v>0.19999999999999996</v>
      </c>
      <c r="T7" s="28">
        <v>1</v>
      </c>
      <c r="U7" s="79">
        <v>0.89</v>
      </c>
      <c r="V7" s="28">
        <v>5</v>
      </c>
      <c r="W7" s="81">
        <f>1-26.5754155186206%</f>
        <v>0.73424584481379407</v>
      </c>
      <c r="X7" s="28">
        <v>2</v>
      </c>
      <c r="Y7" s="82">
        <f>G7*0.05</f>
        <v>10.5</v>
      </c>
      <c r="Z7" s="28">
        <v>1</v>
      </c>
      <c r="AA7" s="86">
        <f>(R7+T7+V7+X7+Z7+P7)/6</f>
        <v>2.6666666666666665</v>
      </c>
      <c r="AB7" s="28"/>
      <c r="AC7" s="83">
        <f>(M7+AA7)/2</f>
        <v>2.333333333333333</v>
      </c>
      <c r="AD7" s="28" t="str">
        <f t="shared" ref="AD7" si="0">IF(AC7&lt;=1,"LOW", IF(AC7&lt;=2,"MEDIUM LOW", IF(AC7&lt;=3,"MEDIUM", IF(AC7&lt;=4,"MEDIUM HIGH", "HIGH"))))</f>
        <v>MEDIUM</v>
      </c>
      <c r="AE7" s="84" t="s">
        <v>65</v>
      </c>
      <c r="AF7" s="85">
        <v>3</v>
      </c>
      <c r="AG7" s="84" t="s">
        <v>75</v>
      </c>
      <c r="AH7" s="28">
        <v>3</v>
      </c>
      <c r="AI7" s="84" t="s">
        <v>76</v>
      </c>
      <c r="AJ7" s="28">
        <v>3</v>
      </c>
      <c r="AK7" s="84" t="s">
        <v>68</v>
      </c>
      <c r="AL7" s="28">
        <v>3</v>
      </c>
      <c r="AM7" s="84" t="s">
        <v>69</v>
      </c>
      <c r="AN7" s="28">
        <v>3</v>
      </c>
      <c r="AO7" s="84" t="s">
        <v>70</v>
      </c>
      <c r="AP7" s="84">
        <v>3</v>
      </c>
      <c r="AQ7" s="86">
        <f t="shared" ref="AQ7" si="1">(AF7+AH7+AJ7+AL7+AN7+AP7)/6</f>
        <v>3</v>
      </c>
      <c r="AR7" s="28"/>
      <c r="AS7" s="83">
        <f t="shared" ref="AS7" si="2">AC7/AQ7</f>
        <v>0.77777777777777768</v>
      </c>
      <c r="AT7" s="83" t="str">
        <f t="shared" ref="AT7" si="3">IF(AS7&lt;=1,"LOW", IF(AS7&lt;=2,"MEDIUM LOW", IF(AS7&lt;=3,"MEDIUM", IF(AS7&lt;=4,"MEDIUM HIGH", "HIGH"))))</f>
        <v>LOW</v>
      </c>
      <c r="AU7" s="86">
        <v>3</v>
      </c>
      <c r="AV7" s="83">
        <f>AU7*C7</f>
        <v>6</v>
      </c>
      <c r="AW7" s="28" t="str">
        <f t="shared" ref="AW7:AW31" si="4">IF(AV7&lt;=6,"LOW RISK", IF(AV7&lt;=12,"MODERATE RISK", IF(AV7&lt;=18,"HIGH RISK","VERY HIGH RISK")))</f>
        <v>LOW RISK</v>
      </c>
    </row>
    <row r="8" spans="1:49" s="32" customFormat="1" ht="30">
      <c r="A8" s="28"/>
      <c r="B8" s="28"/>
      <c r="C8" s="28"/>
      <c r="D8" s="28"/>
      <c r="E8" s="28"/>
      <c r="F8" s="18"/>
      <c r="G8" s="28"/>
      <c r="H8" s="28"/>
      <c r="I8" s="19" t="s">
        <v>77</v>
      </c>
      <c r="J8" s="78">
        <v>150000</v>
      </c>
      <c r="K8" s="28"/>
      <c r="L8" s="79"/>
      <c r="M8" s="28"/>
      <c r="N8" s="28"/>
      <c r="P8" s="28"/>
      <c r="Q8" s="79"/>
      <c r="R8" s="28"/>
      <c r="S8" s="79"/>
      <c r="T8" s="28"/>
      <c r="U8" s="86"/>
      <c r="V8" s="28"/>
      <c r="W8" s="28"/>
      <c r="X8" s="28"/>
      <c r="Y8" s="87"/>
      <c r="Z8" s="28"/>
      <c r="AA8" s="28"/>
      <c r="AB8" s="28"/>
      <c r="AC8" s="28"/>
      <c r="AD8" s="28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28"/>
      <c r="AR8" s="28"/>
      <c r="AS8" s="28"/>
      <c r="AT8" s="28"/>
      <c r="AU8" s="28"/>
      <c r="AV8" s="83"/>
      <c r="AW8" s="28"/>
    </row>
    <row r="9" spans="1:49" s="32" customFormat="1" ht="225">
      <c r="A9" s="28"/>
      <c r="B9" s="28" t="s">
        <v>173</v>
      </c>
      <c r="C9" s="28">
        <v>2</v>
      </c>
      <c r="D9" s="28" t="s">
        <v>167</v>
      </c>
      <c r="E9" s="28" t="s">
        <v>78</v>
      </c>
      <c r="F9" s="18" t="s">
        <v>79</v>
      </c>
      <c r="G9" s="28">
        <f>[1]Sheet1!$I$14</f>
        <v>400</v>
      </c>
      <c r="H9" s="28">
        <v>761.83199999999999</v>
      </c>
      <c r="I9" s="19" t="s">
        <v>71</v>
      </c>
      <c r="J9" s="78">
        <v>396000</v>
      </c>
      <c r="K9" s="28">
        <v>100.56</v>
      </c>
      <c r="L9" s="79">
        <v>0.16769999999999999</v>
      </c>
      <c r="M9" s="28">
        <v>1</v>
      </c>
      <c r="N9" s="28"/>
      <c r="O9" s="79">
        <v>0.53782851075126092</v>
      </c>
      <c r="P9" s="28">
        <v>5</v>
      </c>
      <c r="Q9" s="79">
        <v>0.44999999999999996</v>
      </c>
      <c r="R9" s="28">
        <v>4</v>
      </c>
      <c r="S9" s="79">
        <f>1-67%</f>
        <v>0.32999999999999996</v>
      </c>
      <c r="T9" s="28">
        <v>2</v>
      </c>
      <c r="U9" s="79">
        <v>0.87</v>
      </c>
      <c r="V9" s="28">
        <v>5</v>
      </c>
      <c r="W9" s="81">
        <f>1-10.4285714285714%</f>
        <v>0.89571428571428602</v>
      </c>
      <c r="X9" s="28">
        <v>1</v>
      </c>
      <c r="Y9" s="82">
        <f>G9*0.05</f>
        <v>20</v>
      </c>
      <c r="Z9" s="28">
        <v>2</v>
      </c>
      <c r="AA9" s="86">
        <f>(R9+T9+V9+X9+Z9+P9)/6</f>
        <v>3.1666666666666665</v>
      </c>
      <c r="AB9" s="28"/>
      <c r="AC9" s="83">
        <f>(M9+AA9)/2</f>
        <v>2.083333333333333</v>
      </c>
      <c r="AD9" s="28" t="str">
        <f>IF(AC9&lt;=1,"LOW", IF(AC9&lt;=2,"MEDIUM LOW", IF(AC9&lt;=3,"MEDIUM", IF(AC9&lt;=4,"MEDIUM HIGH", "HIGH"))))</f>
        <v>MEDIUM</v>
      </c>
      <c r="AE9" s="84" t="s">
        <v>65</v>
      </c>
      <c r="AF9" s="85">
        <v>3</v>
      </c>
      <c r="AG9" s="84" t="s">
        <v>66</v>
      </c>
      <c r="AH9" s="28">
        <v>3</v>
      </c>
      <c r="AI9" s="84" t="s">
        <v>80</v>
      </c>
      <c r="AJ9" s="28">
        <v>3</v>
      </c>
      <c r="AK9" s="84" t="s">
        <v>68</v>
      </c>
      <c r="AL9" s="28">
        <v>3</v>
      </c>
      <c r="AM9" s="84" t="s">
        <v>69</v>
      </c>
      <c r="AN9" s="28">
        <v>3</v>
      </c>
      <c r="AO9" s="84" t="s">
        <v>70</v>
      </c>
      <c r="AP9" s="84">
        <v>3</v>
      </c>
      <c r="AQ9" s="86">
        <f t="shared" ref="AQ9" si="5">(AF9+AH9+AJ9+AL9+AN9+AP9)/6</f>
        <v>3</v>
      </c>
      <c r="AR9" s="28"/>
      <c r="AS9" s="83">
        <f t="shared" ref="AS9" si="6">AC9/AQ9</f>
        <v>0.69444444444444431</v>
      </c>
      <c r="AT9" s="83" t="str">
        <f t="shared" ref="AT9" si="7">IF(AS9&lt;=1,"LOW", IF(AS9&lt;=2,"MEDIUM LOW", IF(AS9&lt;=3,"MEDIUM", IF(AS9&lt;=4,"MEDIUM HIGH", "HIGH"))))</f>
        <v>LOW</v>
      </c>
      <c r="AU9" s="86">
        <v>2</v>
      </c>
      <c r="AV9" s="83">
        <f>AU9*C9</f>
        <v>4</v>
      </c>
      <c r="AW9" s="28" t="str">
        <f t="shared" si="4"/>
        <v>LOW RISK</v>
      </c>
    </row>
    <row r="10" spans="1:49" s="32" customFormat="1" ht="15">
      <c r="A10" s="28"/>
      <c r="B10" s="28"/>
      <c r="C10" s="28"/>
      <c r="D10" s="28"/>
      <c r="E10" s="28"/>
      <c r="F10" s="18"/>
      <c r="G10" s="28"/>
      <c r="H10" s="28"/>
      <c r="I10" s="19" t="s">
        <v>71</v>
      </c>
      <c r="J10" s="78">
        <v>468000</v>
      </c>
      <c r="K10" s="28"/>
      <c r="L10" s="79"/>
      <c r="M10" s="28"/>
      <c r="N10" s="28"/>
      <c r="O10" s="28"/>
      <c r="P10" s="28"/>
      <c r="Q10" s="79"/>
      <c r="R10" s="28"/>
      <c r="S10" s="79"/>
      <c r="T10" s="28"/>
      <c r="U10" s="28"/>
      <c r="V10" s="28"/>
      <c r="W10" s="28"/>
      <c r="X10" s="28"/>
      <c r="Y10" s="87"/>
      <c r="Z10" s="28"/>
      <c r="AA10" s="28"/>
      <c r="AB10" s="28"/>
      <c r="AC10" s="28"/>
      <c r="AD10" s="28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28"/>
      <c r="AR10" s="28"/>
      <c r="AS10" s="28"/>
      <c r="AT10" s="28"/>
      <c r="AU10" s="28"/>
      <c r="AV10" s="83"/>
      <c r="AW10" s="28"/>
    </row>
    <row r="11" spans="1:49" s="32" customFormat="1" ht="15">
      <c r="A11" s="28"/>
      <c r="B11" s="28"/>
      <c r="C11" s="28"/>
      <c r="D11" s="28"/>
      <c r="E11" s="28"/>
      <c r="F11" s="18"/>
      <c r="G11" s="28"/>
      <c r="H11" s="28"/>
      <c r="I11" s="19" t="s">
        <v>71</v>
      </c>
      <c r="J11" s="78">
        <v>576000</v>
      </c>
      <c r="K11" s="28"/>
      <c r="L11" s="79"/>
      <c r="M11" s="28"/>
      <c r="N11" s="28"/>
      <c r="O11" s="28"/>
      <c r="P11" s="28"/>
      <c r="Q11" s="79"/>
      <c r="R11" s="28"/>
      <c r="S11" s="79"/>
      <c r="T11" s="28"/>
      <c r="U11" s="28"/>
      <c r="V11" s="28"/>
      <c r="W11" s="28"/>
      <c r="X11" s="28"/>
      <c r="Y11" s="87"/>
      <c r="Z11" s="28"/>
      <c r="AA11" s="28"/>
      <c r="AB11" s="28"/>
      <c r="AC11" s="28"/>
      <c r="AD11" s="28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28"/>
      <c r="AR11" s="28"/>
      <c r="AS11" s="28"/>
      <c r="AT11" s="28"/>
      <c r="AU11" s="28"/>
      <c r="AV11" s="83"/>
      <c r="AW11" s="28"/>
    </row>
    <row r="12" spans="1:49" s="32" customFormat="1" ht="15">
      <c r="A12" s="28"/>
      <c r="B12" s="28"/>
      <c r="C12" s="28"/>
      <c r="D12" s="28"/>
      <c r="E12" s="28"/>
      <c r="F12" s="18"/>
      <c r="G12" s="28"/>
      <c r="H12" s="28"/>
      <c r="I12" s="19" t="s">
        <v>71</v>
      </c>
      <c r="J12" s="78">
        <v>468000</v>
      </c>
      <c r="K12" s="28"/>
      <c r="L12" s="79"/>
      <c r="M12" s="28"/>
      <c r="N12" s="28"/>
      <c r="O12" s="79">
        <v>0.66531932093775259</v>
      </c>
      <c r="P12" s="28">
        <v>5</v>
      </c>
      <c r="Q12" s="79"/>
      <c r="R12" s="28"/>
      <c r="S12" s="79">
        <v>0</v>
      </c>
      <c r="T12" s="28"/>
      <c r="U12" s="79"/>
      <c r="V12" s="28"/>
      <c r="W12" s="28"/>
      <c r="X12" s="28"/>
      <c r="Y12" s="87"/>
      <c r="Z12" s="28"/>
      <c r="AA12" s="28"/>
      <c r="AB12" s="28"/>
      <c r="AC12" s="28"/>
      <c r="AD12" s="28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28"/>
      <c r="AR12" s="28"/>
      <c r="AS12" s="28"/>
      <c r="AT12" s="28"/>
      <c r="AU12" s="28"/>
      <c r="AV12" s="83"/>
      <c r="AW12" s="28"/>
    </row>
    <row r="13" spans="1:49" s="32" customFormat="1" ht="225">
      <c r="A13" s="28"/>
      <c r="B13" s="28" t="s">
        <v>173</v>
      </c>
      <c r="C13" s="28">
        <v>2</v>
      </c>
      <c r="D13" s="28" t="s">
        <v>168</v>
      </c>
      <c r="E13" s="28" t="s">
        <v>78</v>
      </c>
      <c r="F13" s="18" t="s">
        <v>83</v>
      </c>
      <c r="G13" s="28">
        <f>[1]Sheet1!$I$20</f>
        <v>89</v>
      </c>
      <c r="H13" s="28">
        <v>699.63199999999995</v>
      </c>
      <c r="I13" s="19" t="s">
        <v>84</v>
      </c>
      <c r="J13" s="78">
        <v>6000000</v>
      </c>
      <c r="K13" s="28">
        <v>10.44</v>
      </c>
      <c r="L13" s="79">
        <v>1.7500000000000002E-2</v>
      </c>
      <c r="M13" s="28">
        <v>1</v>
      </c>
      <c r="N13" s="28"/>
      <c r="O13" s="79">
        <v>0.51080380293863437</v>
      </c>
      <c r="P13" s="28">
        <v>4</v>
      </c>
      <c r="Q13" s="79">
        <f>1-55%</f>
        <v>0.44999999999999996</v>
      </c>
      <c r="R13" s="87">
        <v>4</v>
      </c>
      <c r="S13" s="79">
        <f>1-75%</f>
        <v>0.25</v>
      </c>
      <c r="T13" s="28">
        <v>1</v>
      </c>
      <c r="U13" s="79">
        <v>0.64</v>
      </c>
      <c r="V13" s="28">
        <v>5</v>
      </c>
      <c r="W13" s="88">
        <f>1-4.63492063492063%</f>
        <v>0.95365079365079375</v>
      </c>
      <c r="X13" s="28">
        <v>1</v>
      </c>
      <c r="Y13" s="82">
        <f>G13*0.2</f>
        <v>17.8</v>
      </c>
      <c r="Z13" s="28">
        <v>2</v>
      </c>
      <c r="AA13" s="86">
        <f>(R13+T13+V13+X13+Z13+P13)/6</f>
        <v>2.8333333333333335</v>
      </c>
      <c r="AB13" s="28"/>
      <c r="AC13" s="83">
        <f>(M13+AA13)/2</f>
        <v>1.9166666666666667</v>
      </c>
      <c r="AD13" s="28" t="str">
        <f t="shared" ref="AD13:AD14" si="8">IF(AC13&lt;=1,"LOW", IF(AC13&lt;=2,"MEDIUM LOW", IF(AC13&lt;=3,"MEDIUM", IF(AC13&lt;=4,"MEDIUM HIGH", "HIGH"))))</f>
        <v>MEDIUM LOW</v>
      </c>
      <c r="AE13" s="84" t="s">
        <v>65</v>
      </c>
      <c r="AF13" s="85">
        <v>3</v>
      </c>
      <c r="AG13" s="84" t="s">
        <v>85</v>
      </c>
      <c r="AH13" s="28">
        <v>3</v>
      </c>
      <c r="AI13" s="84" t="s">
        <v>86</v>
      </c>
      <c r="AJ13" s="28">
        <v>3</v>
      </c>
      <c r="AK13" s="84" t="s">
        <v>68</v>
      </c>
      <c r="AL13" s="28">
        <v>3</v>
      </c>
      <c r="AM13" s="84" t="s">
        <v>69</v>
      </c>
      <c r="AN13" s="28">
        <v>3</v>
      </c>
      <c r="AO13" s="84" t="s">
        <v>70</v>
      </c>
      <c r="AP13" s="84">
        <v>3</v>
      </c>
      <c r="AQ13" s="86">
        <f t="shared" ref="AQ13:AQ14" si="9">(AF13+AH13+AJ13+AL13+AN13+AP13)/6</f>
        <v>3</v>
      </c>
      <c r="AR13" s="28"/>
      <c r="AS13" s="83">
        <f t="shared" ref="AS13:AS14" si="10">AC13/AQ13</f>
        <v>0.63888888888888895</v>
      </c>
      <c r="AT13" s="83" t="str">
        <f t="shared" ref="AT13:AT14" si="11">IF(AS13&lt;=1,"LOW", IF(AS13&lt;=2,"MEDIUM LOW", IF(AS13&lt;=3,"MEDIUM", IF(AS13&lt;=4,"MEDIUM HIGH", "HIGH"))))</f>
        <v>LOW</v>
      </c>
      <c r="AU13" s="86">
        <v>1</v>
      </c>
      <c r="AV13" s="83">
        <f>AU13*C13</f>
        <v>2</v>
      </c>
      <c r="AW13" s="28" t="str">
        <f t="shared" si="4"/>
        <v>LOW RISK</v>
      </c>
    </row>
    <row r="14" spans="1:49" s="32" customFormat="1" ht="225">
      <c r="A14" s="28"/>
      <c r="B14" s="28" t="s">
        <v>173</v>
      </c>
      <c r="C14" s="28">
        <v>2</v>
      </c>
      <c r="D14" s="28" t="s">
        <v>168</v>
      </c>
      <c r="E14" s="28" t="s">
        <v>81</v>
      </c>
      <c r="F14" s="18" t="s">
        <v>87</v>
      </c>
      <c r="G14" s="28">
        <f>[1]Sheet1!$I$24</f>
        <v>300</v>
      </c>
      <c r="H14" s="28">
        <v>690.81399999999996</v>
      </c>
      <c r="I14" s="19" t="s">
        <v>88</v>
      </c>
      <c r="J14" s="78">
        <v>2500000</v>
      </c>
      <c r="K14" s="28">
        <v>36.409999999999997</v>
      </c>
      <c r="L14" s="79">
        <v>6.25E-2</v>
      </c>
      <c r="M14" s="28">
        <v>1</v>
      </c>
      <c r="N14" s="28"/>
      <c r="O14" s="79">
        <v>0.57031554343591739</v>
      </c>
      <c r="P14" s="28">
        <v>4</v>
      </c>
      <c r="Q14" s="79">
        <v>0.44999999999999996</v>
      </c>
      <c r="R14" s="28">
        <v>4</v>
      </c>
      <c r="S14" s="79">
        <f>1-66%</f>
        <v>0.33999999999999997</v>
      </c>
      <c r="T14" s="28">
        <v>2</v>
      </c>
      <c r="U14" s="79">
        <v>0.53</v>
      </c>
      <c r="V14" s="28">
        <v>5</v>
      </c>
      <c r="W14" s="88">
        <f>1-9.29127052722558%</f>
        <v>0.90708729472774419</v>
      </c>
      <c r="X14" s="28">
        <v>1</v>
      </c>
      <c r="Y14" s="82">
        <f>G14*0.1</f>
        <v>30</v>
      </c>
      <c r="Z14" s="28">
        <v>3</v>
      </c>
      <c r="AA14" s="86">
        <f>(R14+T14+V14+X14+Z14+P14)/6</f>
        <v>3.1666666666666665</v>
      </c>
      <c r="AB14" s="28"/>
      <c r="AC14" s="83">
        <f>(M14+AA14)/2</f>
        <v>2.083333333333333</v>
      </c>
      <c r="AD14" s="28" t="str">
        <f t="shared" si="8"/>
        <v>MEDIUM</v>
      </c>
      <c r="AE14" s="84" t="s">
        <v>65</v>
      </c>
      <c r="AF14" s="85">
        <v>3</v>
      </c>
      <c r="AG14" s="84" t="s">
        <v>72</v>
      </c>
      <c r="AH14" s="28">
        <v>3</v>
      </c>
      <c r="AI14" s="84" t="s">
        <v>89</v>
      </c>
      <c r="AJ14" s="28">
        <v>3</v>
      </c>
      <c r="AK14" s="84" t="s">
        <v>68</v>
      </c>
      <c r="AL14" s="28">
        <v>3</v>
      </c>
      <c r="AM14" s="84" t="s">
        <v>69</v>
      </c>
      <c r="AN14" s="28">
        <v>3</v>
      </c>
      <c r="AO14" s="84" t="s">
        <v>70</v>
      </c>
      <c r="AP14" s="84">
        <v>3</v>
      </c>
      <c r="AQ14" s="86">
        <f t="shared" si="9"/>
        <v>3</v>
      </c>
      <c r="AR14" s="28"/>
      <c r="AS14" s="83">
        <f t="shared" si="10"/>
        <v>0.69444444444444431</v>
      </c>
      <c r="AT14" s="83" t="str">
        <f t="shared" si="11"/>
        <v>LOW</v>
      </c>
      <c r="AU14" s="86">
        <v>1</v>
      </c>
      <c r="AV14" s="83">
        <f>AU14*C14</f>
        <v>2</v>
      </c>
      <c r="AW14" s="28" t="str">
        <f t="shared" si="4"/>
        <v>LOW RISK</v>
      </c>
    </row>
    <row r="15" spans="1:49" s="32" customFormat="1" ht="15">
      <c r="A15" s="28"/>
      <c r="B15" s="28"/>
      <c r="C15" s="28"/>
      <c r="D15" s="28"/>
      <c r="E15" s="28"/>
      <c r="F15" s="18"/>
      <c r="G15" s="28"/>
      <c r="H15" s="28"/>
      <c r="I15" s="19" t="s">
        <v>82</v>
      </c>
      <c r="J15" s="78">
        <v>2500000</v>
      </c>
      <c r="K15" s="28"/>
      <c r="L15" s="79"/>
      <c r="M15" s="28"/>
      <c r="N15" s="28"/>
      <c r="O15" s="79"/>
      <c r="P15" s="28"/>
      <c r="Q15" s="79"/>
      <c r="R15" s="28"/>
      <c r="S15" s="79">
        <v>0</v>
      </c>
      <c r="T15" s="28"/>
      <c r="U15" s="86"/>
      <c r="V15" s="28"/>
      <c r="W15" s="28"/>
      <c r="X15" s="28"/>
      <c r="Y15" s="87"/>
      <c r="Z15" s="28"/>
      <c r="AA15" s="28"/>
      <c r="AB15" s="28"/>
      <c r="AC15" s="28"/>
      <c r="AD15" s="28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28"/>
      <c r="AR15" s="28"/>
      <c r="AS15" s="28"/>
      <c r="AT15" s="28"/>
      <c r="AU15" s="28"/>
      <c r="AV15" s="83"/>
      <c r="AW15" s="28"/>
    </row>
    <row r="16" spans="1:49" s="32" customFormat="1" ht="15">
      <c r="A16" s="28"/>
      <c r="B16" s="28"/>
      <c r="C16" s="28"/>
      <c r="D16" s="28"/>
      <c r="E16" s="28"/>
      <c r="F16" s="18"/>
      <c r="G16" s="28"/>
      <c r="H16" s="28"/>
      <c r="I16" s="19" t="s">
        <v>82</v>
      </c>
      <c r="J16" s="78">
        <v>3000000</v>
      </c>
      <c r="K16" s="28"/>
      <c r="L16" s="79"/>
      <c r="M16" s="28"/>
      <c r="N16" s="28"/>
      <c r="O16" s="28"/>
      <c r="P16" s="28"/>
      <c r="Q16" s="79"/>
      <c r="R16" s="28"/>
      <c r="S16" s="79"/>
      <c r="T16" s="28"/>
      <c r="U16" s="28"/>
      <c r="V16" s="28"/>
      <c r="W16" s="28"/>
      <c r="X16" s="28"/>
      <c r="Y16" s="87"/>
      <c r="Z16" s="28"/>
      <c r="AA16" s="28"/>
      <c r="AB16" s="28"/>
      <c r="AC16" s="28"/>
      <c r="AD16" s="28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28"/>
      <c r="AR16" s="28"/>
      <c r="AS16" s="28"/>
      <c r="AT16" s="28"/>
      <c r="AU16" s="28"/>
      <c r="AV16" s="83"/>
      <c r="AW16" s="28"/>
    </row>
    <row r="17" spans="1:49" s="32" customFormat="1" ht="225">
      <c r="A17" s="28"/>
      <c r="B17" s="28" t="s">
        <v>173</v>
      </c>
      <c r="C17" s="28">
        <v>2</v>
      </c>
      <c r="D17" s="28" t="s">
        <v>167</v>
      </c>
      <c r="E17" s="28" t="s">
        <v>78</v>
      </c>
      <c r="F17" s="18" t="s">
        <v>91</v>
      </c>
      <c r="G17" s="28">
        <f>[1]Sheet1!$I$32</f>
        <v>500</v>
      </c>
      <c r="H17" s="28">
        <v>1995.4369999999999</v>
      </c>
      <c r="I17" s="19" t="s">
        <v>82</v>
      </c>
      <c r="J17" s="78">
        <v>150000</v>
      </c>
      <c r="K17" s="28">
        <v>5.49</v>
      </c>
      <c r="L17" s="79">
        <v>3.5000000000000001E-3</v>
      </c>
      <c r="M17" s="28">
        <v>1</v>
      </c>
      <c r="N17" s="28"/>
      <c r="O17" s="79">
        <v>0.53847703464947627</v>
      </c>
      <c r="P17" s="28">
        <v>5</v>
      </c>
      <c r="Q17" s="79">
        <v>0.44999999999999996</v>
      </c>
      <c r="R17" s="28">
        <v>4</v>
      </c>
      <c r="S17" s="79">
        <f>1-59%</f>
        <v>0.41000000000000003</v>
      </c>
      <c r="T17" s="28">
        <v>3</v>
      </c>
      <c r="U17" s="79">
        <v>0.45</v>
      </c>
      <c r="V17" s="28">
        <v>4</v>
      </c>
      <c r="W17" s="88">
        <v>1</v>
      </c>
      <c r="X17" s="28">
        <v>1</v>
      </c>
      <c r="Y17" s="82">
        <f>G17*0.1</f>
        <v>50</v>
      </c>
      <c r="Z17" s="28">
        <v>5</v>
      </c>
      <c r="AA17" s="86">
        <f>(R17+T17+V17+X17+Z17+P17)/6</f>
        <v>3.6666666666666665</v>
      </c>
      <c r="AB17" s="28"/>
      <c r="AC17" s="83">
        <f>(M17+AA17)/2</f>
        <v>2.333333333333333</v>
      </c>
      <c r="AD17" s="28" t="str">
        <f t="shared" ref="AD17" si="12">IF(AC17&lt;=1,"LOW", IF(AC17&lt;=2,"MEDIUM LOW", IF(AC17&lt;=3,"MEDIUM", IF(AC17&lt;=4,"MEDIUM HIGH", "HIGH"))))</f>
        <v>MEDIUM</v>
      </c>
      <c r="AE17" s="84" t="s">
        <v>90</v>
      </c>
      <c r="AF17" s="85">
        <v>4</v>
      </c>
      <c r="AG17" s="84" t="s">
        <v>92</v>
      </c>
      <c r="AH17" s="28">
        <v>4</v>
      </c>
      <c r="AI17" s="84" t="s">
        <v>93</v>
      </c>
      <c r="AJ17" s="28">
        <v>3</v>
      </c>
      <c r="AK17" s="84" t="s">
        <v>68</v>
      </c>
      <c r="AL17" s="28">
        <v>3</v>
      </c>
      <c r="AM17" s="84" t="s">
        <v>69</v>
      </c>
      <c r="AN17" s="28">
        <v>3</v>
      </c>
      <c r="AO17" s="84" t="s">
        <v>70</v>
      </c>
      <c r="AP17" s="84">
        <v>3</v>
      </c>
      <c r="AQ17" s="86">
        <f t="shared" ref="AQ17" si="13">(AF17+AH17+AJ17+AL17+AN17+AP17)/6</f>
        <v>3.3333333333333335</v>
      </c>
      <c r="AR17" s="28"/>
      <c r="AS17" s="83">
        <f t="shared" ref="AS17" si="14">AC17/AQ17</f>
        <v>0.69999999999999984</v>
      </c>
      <c r="AT17" s="83" t="str">
        <f t="shared" ref="AT17" si="15">IF(AS17&lt;=1,"LOW", IF(AS17&lt;=2,"MEDIUM LOW", IF(AS17&lt;=3,"MEDIUM", IF(AS17&lt;=4,"MEDIUM HIGH", "HIGH"))))</f>
        <v>LOW</v>
      </c>
      <c r="AU17" s="86">
        <v>1</v>
      </c>
      <c r="AV17" s="83">
        <f>AU17*C17</f>
        <v>2</v>
      </c>
      <c r="AW17" s="28" t="str">
        <f t="shared" si="4"/>
        <v>LOW RISK</v>
      </c>
    </row>
    <row r="18" spans="1:49" s="32" customFormat="1" ht="15">
      <c r="A18" s="28"/>
      <c r="B18" s="28"/>
      <c r="C18" s="28"/>
      <c r="D18" s="28"/>
      <c r="E18" s="28"/>
      <c r="F18" s="18"/>
      <c r="G18" s="28" t="s">
        <v>94</v>
      </c>
      <c r="H18" s="28"/>
      <c r="I18" s="19" t="s">
        <v>82</v>
      </c>
      <c r="J18" s="78">
        <v>85000</v>
      </c>
      <c r="K18" s="28"/>
      <c r="L18" s="79"/>
      <c r="M18" s="28"/>
      <c r="N18" s="28"/>
      <c r="O18" s="79">
        <v>0.50391273417121174</v>
      </c>
      <c r="P18" s="28"/>
      <c r="Q18" s="79"/>
      <c r="R18" s="28"/>
      <c r="S18" s="79">
        <v>0</v>
      </c>
      <c r="T18" s="28"/>
      <c r="U18" s="86"/>
      <c r="V18" s="28"/>
      <c r="W18" s="28"/>
      <c r="X18" s="28"/>
      <c r="Y18" s="87" t="e">
        <f>G18*0.7</f>
        <v>#VALUE!</v>
      </c>
      <c r="Z18" s="28"/>
      <c r="AA18" s="28"/>
      <c r="AB18" s="28"/>
      <c r="AC18" s="28"/>
      <c r="AD18" s="28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28"/>
      <c r="AR18" s="28"/>
      <c r="AS18" s="28"/>
      <c r="AT18" s="28"/>
      <c r="AU18" s="28"/>
      <c r="AV18" s="83"/>
      <c r="AW18" s="28"/>
    </row>
    <row r="19" spans="1:49" s="32" customFormat="1" ht="15">
      <c r="A19" s="28"/>
      <c r="B19" s="28"/>
      <c r="C19" s="28"/>
      <c r="D19" s="28"/>
      <c r="E19" s="28"/>
      <c r="F19" s="18"/>
      <c r="G19" s="28"/>
      <c r="H19" s="28"/>
      <c r="I19" s="19" t="s">
        <v>82</v>
      </c>
      <c r="J19" s="78">
        <v>65000</v>
      </c>
      <c r="K19" s="28"/>
      <c r="L19" s="79"/>
      <c r="M19" s="28"/>
      <c r="N19" s="28"/>
      <c r="O19" s="28"/>
      <c r="P19" s="28"/>
      <c r="Q19" s="79"/>
      <c r="R19" s="28"/>
      <c r="S19" s="79"/>
      <c r="T19" s="28"/>
      <c r="U19" s="28"/>
      <c r="V19" s="28"/>
      <c r="W19" s="28"/>
      <c r="X19" s="28"/>
      <c r="Y19" s="87"/>
      <c r="Z19" s="28"/>
      <c r="AA19" s="28"/>
      <c r="AB19" s="28"/>
      <c r="AC19" s="28"/>
      <c r="AD19" s="28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28"/>
      <c r="AR19" s="28"/>
      <c r="AS19" s="28"/>
      <c r="AT19" s="28"/>
      <c r="AU19" s="28"/>
      <c r="AV19" s="83"/>
      <c r="AW19" s="28"/>
    </row>
    <row r="20" spans="1:49" s="32" customFormat="1" ht="15">
      <c r="A20" s="28"/>
      <c r="B20" s="28"/>
      <c r="C20" s="28"/>
      <c r="D20" s="28"/>
      <c r="E20" s="28"/>
      <c r="F20" s="18"/>
      <c r="G20" s="28"/>
      <c r="H20" s="28"/>
      <c r="I20" s="19" t="s">
        <v>82</v>
      </c>
      <c r="J20" s="78">
        <v>50000</v>
      </c>
      <c r="K20" s="28"/>
      <c r="L20" s="79"/>
      <c r="M20" s="28"/>
      <c r="N20" s="28"/>
      <c r="O20" s="28"/>
      <c r="P20" s="28"/>
      <c r="Q20" s="79"/>
      <c r="R20" s="28"/>
      <c r="S20" s="79"/>
      <c r="T20" s="28"/>
      <c r="U20" s="28"/>
      <c r="V20" s="28"/>
      <c r="W20" s="28"/>
      <c r="X20" s="28"/>
      <c r="Y20" s="87"/>
      <c r="Z20" s="28"/>
      <c r="AA20" s="28"/>
      <c r="AB20" s="28"/>
      <c r="AC20" s="28"/>
      <c r="AD20" s="28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28"/>
      <c r="AR20" s="28"/>
      <c r="AS20" s="28"/>
      <c r="AT20" s="28"/>
      <c r="AU20" s="28"/>
      <c r="AV20" s="83"/>
      <c r="AW20" s="28"/>
    </row>
    <row r="21" spans="1:49" s="32" customFormat="1" ht="225">
      <c r="A21" s="28"/>
      <c r="B21" s="28" t="s">
        <v>173</v>
      </c>
      <c r="C21" s="28">
        <v>2</v>
      </c>
      <c r="D21" s="28" t="s">
        <v>109</v>
      </c>
      <c r="E21" s="28" t="s">
        <v>81</v>
      </c>
      <c r="F21" s="18" t="s">
        <v>95</v>
      </c>
      <c r="G21" s="28">
        <f>[1]Sheet1!$I$33</f>
        <v>360</v>
      </c>
      <c r="H21" s="28">
        <v>696.03599999999994</v>
      </c>
      <c r="I21" s="19" t="s">
        <v>96</v>
      </c>
      <c r="J21" s="78">
        <v>150000</v>
      </c>
      <c r="K21" s="28">
        <v>36.35</v>
      </c>
      <c r="L21" s="79">
        <v>0.16900000000000001</v>
      </c>
      <c r="M21" s="28">
        <v>1</v>
      </c>
      <c r="N21" s="28"/>
      <c r="O21" s="79">
        <v>0.44053464266230224</v>
      </c>
      <c r="P21" s="28">
        <v>4</v>
      </c>
      <c r="Q21" s="79">
        <v>0.44999999999999996</v>
      </c>
      <c r="R21" s="28">
        <v>4</v>
      </c>
      <c r="S21" s="79">
        <f>1-64%</f>
        <v>0.36</v>
      </c>
      <c r="T21" s="28">
        <v>2</v>
      </c>
      <c r="U21" s="79">
        <v>0.6</v>
      </c>
      <c r="V21" s="28">
        <v>5</v>
      </c>
      <c r="W21" s="88">
        <v>1</v>
      </c>
      <c r="X21" s="28">
        <v>1</v>
      </c>
      <c r="Y21" s="82">
        <f>G21*0.1</f>
        <v>36</v>
      </c>
      <c r="Z21" s="28">
        <v>4</v>
      </c>
      <c r="AA21" s="86">
        <f>(R21+T21+V21+X21+P21+Z21)/6</f>
        <v>3.3333333333333335</v>
      </c>
      <c r="AB21" s="28"/>
      <c r="AC21" s="83">
        <f>(M21+AA21)/2</f>
        <v>2.166666666666667</v>
      </c>
      <c r="AD21" s="28" t="str">
        <f>IF(AC21&lt;=1,"LOW", IF(AC21&lt;=2,"MEDIUM LOW", IF(AC21&lt;=3,"MEDIUM", IF(AC21&lt;=4,"MEDIUM HIGH", "HIGH"))))</f>
        <v>MEDIUM</v>
      </c>
      <c r="AE21" s="84" t="s">
        <v>65</v>
      </c>
      <c r="AF21" s="85">
        <v>3</v>
      </c>
      <c r="AG21" s="84" t="s">
        <v>66</v>
      </c>
      <c r="AH21" s="28">
        <v>3</v>
      </c>
      <c r="AI21" s="84" t="s">
        <v>97</v>
      </c>
      <c r="AJ21" s="28">
        <v>3</v>
      </c>
      <c r="AK21" s="84" t="s">
        <v>68</v>
      </c>
      <c r="AL21" s="28">
        <v>3</v>
      </c>
      <c r="AM21" s="84" t="s">
        <v>69</v>
      </c>
      <c r="AN21" s="28">
        <v>3</v>
      </c>
      <c r="AO21" s="84" t="s">
        <v>70</v>
      </c>
      <c r="AP21" s="84">
        <v>3</v>
      </c>
      <c r="AQ21" s="86">
        <f t="shared" ref="AQ21" si="16">(AF21+AH21+AJ21+AL21+AN21+AP21)/6</f>
        <v>3</v>
      </c>
      <c r="AR21" s="28"/>
      <c r="AS21" s="83">
        <f t="shared" ref="AS21" si="17">AC21/AQ21</f>
        <v>0.72222222222222232</v>
      </c>
      <c r="AT21" s="83" t="str">
        <f t="shared" ref="AT21" si="18">IF(AS21&lt;=1,"LOW", IF(AS21&lt;=2,"MEDIUM LOW", IF(AS21&lt;=3,"MEDIUM", IF(AS21&lt;=4,"MEDIUM HIGH", "HIGH"))))</f>
        <v>LOW</v>
      </c>
      <c r="AU21" s="86">
        <v>2</v>
      </c>
      <c r="AV21" s="83">
        <f>AU21*C21</f>
        <v>4</v>
      </c>
      <c r="AW21" s="28" t="str">
        <f t="shared" si="4"/>
        <v>LOW RISK</v>
      </c>
    </row>
    <row r="22" spans="1:49" s="32" customFormat="1" ht="15">
      <c r="A22" s="28"/>
      <c r="B22" s="28"/>
      <c r="C22" s="28"/>
      <c r="D22" s="28"/>
      <c r="E22" s="28"/>
      <c r="F22" s="18"/>
      <c r="G22" s="28"/>
      <c r="H22" s="28"/>
      <c r="I22" s="19" t="s">
        <v>96</v>
      </c>
      <c r="J22" s="78">
        <v>650000</v>
      </c>
      <c r="K22" s="28"/>
      <c r="L22" s="79"/>
      <c r="M22" s="28"/>
      <c r="N22" s="28"/>
      <c r="O22" s="28"/>
      <c r="P22" s="28"/>
      <c r="Q22" s="79"/>
      <c r="R22" s="28"/>
      <c r="S22" s="79"/>
      <c r="T22" s="28"/>
      <c r="U22" s="28"/>
      <c r="V22" s="28"/>
      <c r="W22" s="28"/>
      <c r="X22" s="28"/>
      <c r="Y22" s="87"/>
      <c r="Z22" s="28"/>
      <c r="AA22" s="28"/>
      <c r="AB22" s="28"/>
      <c r="AC22" s="28"/>
      <c r="AD22" s="28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28"/>
      <c r="AR22" s="28"/>
      <c r="AS22" s="28"/>
      <c r="AT22" s="28"/>
      <c r="AU22" s="28"/>
      <c r="AV22" s="83"/>
      <c r="AW22" s="28"/>
    </row>
    <row r="23" spans="1:49" s="32" customFormat="1" ht="30">
      <c r="A23" s="28"/>
      <c r="B23" s="28"/>
      <c r="C23" s="28"/>
      <c r="D23" s="28"/>
      <c r="E23" s="28"/>
      <c r="F23" s="18"/>
      <c r="G23" s="28"/>
      <c r="H23" s="86"/>
      <c r="I23" s="19" t="s">
        <v>77</v>
      </c>
      <c r="J23" s="78">
        <v>900000</v>
      </c>
      <c r="K23" s="28"/>
      <c r="L23" s="79"/>
      <c r="M23" s="28"/>
      <c r="N23" s="28"/>
      <c r="O23" s="79"/>
      <c r="P23" s="28"/>
      <c r="Q23" s="79"/>
      <c r="R23" s="28"/>
      <c r="S23" s="79"/>
      <c r="T23" s="28"/>
      <c r="U23" s="86"/>
      <c r="V23" s="28"/>
      <c r="W23" s="28"/>
      <c r="X23" s="28"/>
      <c r="Y23" s="87"/>
      <c r="Z23" s="28"/>
      <c r="AA23" s="28"/>
      <c r="AB23" s="28"/>
      <c r="AC23" s="28"/>
      <c r="AD23" s="28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28"/>
      <c r="AR23" s="28"/>
      <c r="AS23" s="28"/>
      <c r="AT23" s="28"/>
      <c r="AU23" s="28"/>
      <c r="AV23" s="83"/>
      <c r="AW23" s="28"/>
    </row>
    <row r="24" spans="1:49" s="32" customFormat="1" ht="30">
      <c r="A24" s="28"/>
      <c r="B24" s="28"/>
      <c r="C24" s="28"/>
      <c r="D24" s="28"/>
      <c r="E24" s="28"/>
      <c r="F24" s="18"/>
      <c r="G24" s="28"/>
      <c r="H24" s="28"/>
      <c r="I24" s="19" t="s">
        <v>77</v>
      </c>
      <c r="J24" s="78">
        <v>500000</v>
      </c>
      <c r="K24" s="28"/>
      <c r="L24" s="79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87"/>
      <c r="Z24" s="28"/>
      <c r="AA24" s="28"/>
      <c r="AB24" s="28"/>
      <c r="AC24" s="28"/>
      <c r="AD24" s="28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28"/>
      <c r="AR24" s="28"/>
      <c r="AS24" s="28"/>
      <c r="AT24" s="28"/>
      <c r="AU24" s="28"/>
      <c r="AV24" s="83"/>
      <c r="AW24" s="28"/>
    </row>
    <row r="25" spans="1:49" s="32" customFormat="1" ht="15">
      <c r="A25" s="28"/>
      <c r="B25" s="28"/>
      <c r="C25" s="28"/>
      <c r="D25" s="28"/>
      <c r="E25" s="28"/>
      <c r="F25" s="18"/>
      <c r="G25" s="28"/>
      <c r="H25" s="28"/>
      <c r="I25" s="19" t="s">
        <v>96</v>
      </c>
      <c r="J25" s="78">
        <v>400000</v>
      </c>
      <c r="K25" s="28"/>
      <c r="L25" s="79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87"/>
      <c r="Z25" s="28"/>
      <c r="AA25" s="28"/>
      <c r="AB25" s="28"/>
      <c r="AC25" s="28"/>
      <c r="AD25" s="28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28"/>
      <c r="AR25" s="28"/>
      <c r="AS25" s="28"/>
      <c r="AT25" s="28"/>
      <c r="AU25" s="28"/>
      <c r="AV25" s="83"/>
      <c r="AW25" s="28"/>
    </row>
    <row r="26" spans="1:49" s="32" customFormat="1" ht="30">
      <c r="A26" s="28"/>
      <c r="B26" s="28"/>
      <c r="C26" s="28"/>
      <c r="D26" s="28"/>
      <c r="E26" s="28"/>
      <c r="F26" s="18"/>
      <c r="G26" s="28"/>
      <c r="H26" s="28"/>
      <c r="I26" s="19" t="s">
        <v>77</v>
      </c>
      <c r="J26" s="78">
        <v>100000</v>
      </c>
      <c r="K26" s="28"/>
      <c r="L26" s="79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87"/>
      <c r="Z26" s="28"/>
      <c r="AA26" s="28"/>
      <c r="AB26" s="28"/>
      <c r="AC26" s="28"/>
      <c r="AD26" s="28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28"/>
      <c r="AR26" s="28"/>
      <c r="AS26" s="28"/>
      <c r="AT26" s="28"/>
      <c r="AU26" s="28"/>
      <c r="AV26" s="83"/>
      <c r="AW26" s="28"/>
    </row>
    <row r="27" spans="1:49" s="32" customFormat="1" ht="225">
      <c r="A27" s="28"/>
      <c r="B27" s="28" t="s">
        <v>173</v>
      </c>
      <c r="C27" s="28">
        <v>2</v>
      </c>
      <c r="D27" s="28" t="s">
        <v>109</v>
      </c>
      <c r="E27" s="28" t="s">
        <v>81</v>
      </c>
      <c r="F27" s="18" t="s">
        <v>98</v>
      </c>
      <c r="G27" s="90">
        <f>[1]Sheet1!$I$35</f>
        <v>1150</v>
      </c>
      <c r="H27" s="28">
        <v>390.36799999999999</v>
      </c>
      <c r="I27" s="19" t="s">
        <v>71</v>
      </c>
      <c r="J27" s="78">
        <v>1404000</v>
      </c>
      <c r="K27" s="28">
        <v>107.15</v>
      </c>
      <c r="L27" s="79">
        <v>0.37219999999999998</v>
      </c>
      <c r="M27" s="28">
        <v>2</v>
      </c>
      <c r="N27" s="28"/>
      <c r="O27" s="89">
        <v>0.13721404093729739</v>
      </c>
      <c r="P27" s="28">
        <v>2</v>
      </c>
      <c r="Q27" s="79">
        <v>0.44999999999999996</v>
      </c>
      <c r="R27" s="28">
        <v>4</v>
      </c>
      <c r="S27" s="88">
        <f>1-0.8</f>
        <v>0.19999999999999996</v>
      </c>
      <c r="T27" s="28">
        <v>1</v>
      </c>
      <c r="U27" s="79">
        <v>0.68</v>
      </c>
      <c r="V27" s="28">
        <v>5</v>
      </c>
      <c r="W27" s="88">
        <f>1-26.7435398721867%</f>
        <v>0.73256460127813305</v>
      </c>
      <c r="X27" s="28">
        <v>2</v>
      </c>
      <c r="Y27" s="82">
        <f>G27*0.04</f>
        <v>46</v>
      </c>
      <c r="Z27" s="28">
        <v>4</v>
      </c>
      <c r="AA27" s="28">
        <f>(R27+T27+V27+X27+P27+Z27)/6</f>
        <v>3</v>
      </c>
      <c r="AB27" s="28"/>
      <c r="AC27" s="83">
        <f>(M27+AA27)/2</f>
        <v>2.5</v>
      </c>
      <c r="AD27" s="28" t="str">
        <f>IF(AC27&lt;=1,"LOW", IF(AC27&lt;=2,"MEDIUM LOW", IF(AC27&lt;=3,"MEDIUM", IF(AC27&lt;=4,"MEDIUM HIGH", "HIGH"))))</f>
        <v>MEDIUM</v>
      </c>
      <c r="AE27" s="84" t="s">
        <v>65</v>
      </c>
      <c r="AF27" s="85">
        <v>3</v>
      </c>
      <c r="AG27" s="84" t="s">
        <v>66</v>
      </c>
      <c r="AH27" s="28">
        <v>3</v>
      </c>
      <c r="AI27" s="84" t="s">
        <v>97</v>
      </c>
      <c r="AJ27" s="28">
        <v>3</v>
      </c>
      <c r="AK27" s="84" t="s">
        <v>68</v>
      </c>
      <c r="AL27" s="28">
        <v>3</v>
      </c>
      <c r="AM27" s="84" t="s">
        <v>69</v>
      </c>
      <c r="AN27" s="28">
        <v>3</v>
      </c>
      <c r="AO27" s="84" t="s">
        <v>70</v>
      </c>
      <c r="AP27" s="84">
        <v>3</v>
      </c>
      <c r="AQ27" s="86">
        <f t="shared" ref="AQ27" si="19">(AF27+AH27+AJ27+AL27+AN27+AP27)/6</f>
        <v>3</v>
      </c>
      <c r="AR27" s="28"/>
      <c r="AS27" s="83">
        <f t="shared" ref="AS27" si="20">AC27/AQ27</f>
        <v>0.83333333333333337</v>
      </c>
      <c r="AT27" s="83" t="str">
        <f t="shared" ref="AT27" si="21">IF(AS27&lt;=1,"LOW", IF(AS27&lt;=2,"MEDIUM LOW", IF(AS27&lt;=3,"MEDIUM", IF(AS27&lt;=4,"MEDIUM HIGH", "HIGH"))))</f>
        <v>LOW</v>
      </c>
      <c r="AU27" s="86">
        <v>3</v>
      </c>
      <c r="AV27" s="83">
        <f>AU27*C27</f>
        <v>6</v>
      </c>
      <c r="AW27" s="28" t="str">
        <f t="shared" si="4"/>
        <v>LOW RISK</v>
      </c>
    </row>
    <row r="28" spans="1:49" s="32" customFormat="1" ht="15">
      <c r="A28" s="28"/>
      <c r="B28" s="28"/>
      <c r="C28" s="28"/>
      <c r="D28" s="28"/>
      <c r="E28" s="28"/>
      <c r="F28" s="18"/>
      <c r="G28" s="28"/>
      <c r="H28" s="28"/>
      <c r="I28" s="19" t="s">
        <v>96</v>
      </c>
      <c r="J28" s="78">
        <v>105000</v>
      </c>
      <c r="K28" s="28"/>
      <c r="L28" s="79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87"/>
      <c r="Z28" s="28"/>
      <c r="AA28" s="28"/>
      <c r="AB28" s="28"/>
      <c r="AC28" s="28"/>
      <c r="AD28" s="28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28"/>
      <c r="AR28" s="28"/>
      <c r="AS28" s="28"/>
      <c r="AT28" s="28"/>
      <c r="AU28" s="28"/>
      <c r="AV28" s="83"/>
      <c r="AW28" s="28"/>
    </row>
    <row r="29" spans="1:49" s="32" customFormat="1" ht="225">
      <c r="A29" s="28"/>
      <c r="B29" s="28" t="s">
        <v>173</v>
      </c>
      <c r="C29" s="28">
        <v>2</v>
      </c>
      <c r="D29" s="28" t="s">
        <v>168</v>
      </c>
      <c r="E29" s="28" t="s">
        <v>81</v>
      </c>
      <c r="F29" s="18" t="s">
        <v>99</v>
      </c>
      <c r="G29" s="28">
        <f>[1]Sheet1!$I$61</f>
        <v>350</v>
      </c>
      <c r="H29" s="28">
        <v>511.495</v>
      </c>
      <c r="I29" s="19" t="s">
        <v>88</v>
      </c>
      <c r="J29" s="78">
        <v>25000000</v>
      </c>
      <c r="K29" s="28">
        <v>14.26</v>
      </c>
      <c r="L29" s="79">
        <v>4.2200000000000001E-2</v>
      </c>
      <c r="M29" s="28">
        <v>1</v>
      </c>
      <c r="N29" s="28"/>
      <c r="O29" s="89">
        <v>0.44053464266230224</v>
      </c>
      <c r="P29" s="28">
        <v>4</v>
      </c>
      <c r="Q29" s="79">
        <v>0.55000000000000004</v>
      </c>
      <c r="R29" s="28">
        <v>5</v>
      </c>
      <c r="S29" s="88">
        <f>1-0.765</f>
        <v>0.23499999999999999</v>
      </c>
      <c r="T29" s="28">
        <v>2</v>
      </c>
      <c r="U29" s="79">
        <v>0.67</v>
      </c>
      <c r="V29" s="28">
        <v>5</v>
      </c>
      <c r="W29" s="88">
        <f>1-13.9388979814512%</f>
        <v>0.86061102018548796</v>
      </c>
      <c r="X29" s="28">
        <v>1</v>
      </c>
      <c r="Y29" s="82">
        <f>G29*0.06</f>
        <v>21</v>
      </c>
      <c r="Z29" s="28">
        <v>2</v>
      </c>
      <c r="AA29" s="86">
        <f>(R29+T29+V29+X29+P29+Z29)/6</f>
        <v>3.1666666666666665</v>
      </c>
      <c r="AB29" s="28"/>
      <c r="AC29" s="83">
        <f>(M29+AA29)/2</f>
        <v>2.083333333333333</v>
      </c>
      <c r="AD29" s="28" t="str">
        <f>IF(AC29&lt;=1,"LOW", IF(AC29&lt;=2,"MEDIUM LOW", IF(AC29&lt;=3,"MEDIUM", IF(AC29&lt;=4,"MEDIUM HIGH", "HIGH"))))</f>
        <v>MEDIUM</v>
      </c>
      <c r="AE29" s="84" t="s">
        <v>65</v>
      </c>
      <c r="AF29" s="85">
        <v>3</v>
      </c>
      <c r="AG29" s="84" t="s">
        <v>85</v>
      </c>
      <c r="AH29" s="28">
        <v>3</v>
      </c>
      <c r="AI29" s="84" t="s">
        <v>100</v>
      </c>
      <c r="AJ29" s="28">
        <v>3</v>
      </c>
      <c r="AK29" s="84" t="s">
        <v>68</v>
      </c>
      <c r="AL29" s="28">
        <v>3</v>
      </c>
      <c r="AM29" s="84" t="s">
        <v>69</v>
      </c>
      <c r="AN29" s="28">
        <v>3</v>
      </c>
      <c r="AO29" s="84" t="s">
        <v>70</v>
      </c>
      <c r="AP29" s="84">
        <v>3</v>
      </c>
      <c r="AQ29" s="86">
        <f t="shared" ref="AQ29" si="22">(AF29+AH29+AJ29+AL29+AN29+AP29)/6</f>
        <v>3</v>
      </c>
      <c r="AR29" s="28"/>
      <c r="AS29" s="83">
        <f t="shared" ref="AS29" si="23">AC29/AQ29</f>
        <v>0.69444444444444431</v>
      </c>
      <c r="AT29" s="83" t="str">
        <f t="shared" ref="AT29" si="24">IF(AS29&lt;=1,"LOW", IF(AS29&lt;=2,"MEDIUM LOW", IF(AS29&lt;=3,"MEDIUM", IF(AS29&lt;=4,"MEDIUM HIGH", "HIGH"))))</f>
        <v>LOW</v>
      </c>
      <c r="AU29" s="86">
        <v>1</v>
      </c>
      <c r="AV29" s="83">
        <f>AU29*C29</f>
        <v>2</v>
      </c>
      <c r="AW29" s="28" t="str">
        <f t="shared" si="4"/>
        <v>LOW RISK</v>
      </c>
    </row>
    <row r="30" spans="1:49" s="32" customFormat="1" ht="15">
      <c r="A30" s="28"/>
      <c r="B30" s="28"/>
      <c r="C30" s="28"/>
      <c r="D30" s="28"/>
      <c r="E30" s="28"/>
      <c r="F30" s="18"/>
      <c r="G30" s="28"/>
      <c r="H30" s="28"/>
      <c r="I30" s="19" t="s">
        <v>88</v>
      </c>
      <c r="J30" s="78">
        <v>1500000</v>
      </c>
      <c r="K30" s="28"/>
      <c r="L30" s="79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87"/>
      <c r="Z30" s="28"/>
      <c r="AA30" s="28"/>
      <c r="AB30" s="28"/>
      <c r="AC30" s="28"/>
      <c r="AD30" s="28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28"/>
      <c r="AR30" s="28"/>
      <c r="AS30" s="28"/>
      <c r="AT30" s="28"/>
      <c r="AU30" s="28"/>
      <c r="AV30" s="83"/>
      <c r="AW30" s="28"/>
    </row>
    <row r="31" spans="1:49" s="32" customFormat="1" ht="225">
      <c r="A31" s="28"/>
      <c r="B31" s="28" t="s">
        <v>173</v>
      </c>
      <c r="C31" s="28">
        <v>2</v>
      </c>
      <c r="D31" s="28" t="s">
        <v>109</v>
      </c>
      <c r="E31" s="28" t="s">
        <v>78</v>
      </c>
      <c r="F31" s="18" t="s">
        <v>101</v>
      </c>
      <c r="G31" s="28">
        <f>[1]Sheet1!$I$62</f>
        <v>680</v>
      </c>
      <c r="H31" s="28">
        <v>1021.4001000000001</v>
      </c>
      <c r="I31" s="19" t="s">
        <v>102</v>
      </c>
      <c r="J31" s="78">
        <v>120000</v>
      </c>
      <c r="K31" s="28">
        <v>5.82</v>
      </c>
      <c r="L31" s="79">
        <v>5.7999999999999996E-3</v>
      </c>
      <c r="M31" s="28">
        <v>1</v>
      </c>
      <c r="N31" s="28"/>
      <c r="O31" s="89">
        <v>0.61360832011281508</v>
      </c>
      <c r="P31" s="28">
        <v>5</v>
      </c>
      <c r="Q31" s="91">
        <v>0.55000000000000004</v>
      </c>
      <c r="R31" s="28">
        <v>5</v>
      </c>
      <c r="S31" s="88">
        <v>0.39</v>
      </c>
      <c r="T31" s="28">
        <v>3</v>
      </c>
      <c r="U31" s="79">
        <v>0.46</v>
      </c>
      <c r="V31" s="28">
        <v>4</v>
      </c>
      <c r="W31" s="88">
        <v>1</v>
      </c>
      <c r="X31" s="28">
        <v>1</v>
      </c>
      <c r="Y31" s="82">
        <f>G31*0.1</f>
        <v>68</v>
      </c>
      <c r="Z31" s="28">
        <v>5</v>
      </c>
      <c r="AA31" s="86">
        <f>(R31+T31+V31+X31+P31+Z31)/6</f>
        <v>3.8333333333333335</v>
      </c>
      <c r="AB31" s="28"/>
      <c r="AC31" s="83">
        <f>(M31+AA31)/2</f>
        <v>2.416666666666667</v>
      </c>
      <c r="AD31" s="28" t="str">
        <f>IF(AC31&lt;=1,"LOW", IF(AC31&lt;=2,"MEDIUM LOW", IF(AC31&lt;=3,"MEDIUM", IF(AC31&lt;=4,"MEDIUM HIGH", "HIGH"))))</f>
        <v>MEDIUM</v>
      </c>
      <c r="AE31" s="84" t="s">
        <v>90</v>
      </c>
      <c r="AF31" s="85">
        <v>4</v>
      </c>
      <c r="AG31" s="84" t="s">
        <v>103</v>
      </c>
      <c r="AH31" s="28">
        <v>2</v>
      </c>
      <c r="AI31" s="84" t="s">
        <v>97</v>
      </c>
      <c r="AJ31" s="28">
        <v>3</v>
      </c>
      <c r="AK31" s="84" t="s">
        <v>68</v>
      </c>
      <c r="AL31" s="28">
        <v>3</v>
      </c>
      <c r="AM31" s="84" t="s">
        <v>69</v>
      </c>
      <c r="AN31" s="28">
        <v>3</v>
      </c>
      <c r="AO31" s="84" t="s">
        <v>70</v>
      </c>
      <c r="AP31" s="84">
        <v>3</v>
      </c>
      <c r="AQ31" s="86">
        <f t="shared" ref="AQ31" si="25">(AF31+AH31+AJ31+AL31+AN31+AP31)/6</f>
        <v>3</v>
      </c>
      <c r="AR31" s="28"/>
      <c r="AS31" s="83">
        <f t="shared" ref="AS31" si="26">AC31/AQ31</f>
        <v>0.80555555555555569</v>
      </c>
      <c r="AT31" s="83" t="str">
        <f t="shared" ref="AT31" si="27">IF(AS31&lt;=1,"LOW", IF(AS31&lt;=2,"MEDIUM LOW", IF(AS31&lt;=3,"MEDIUM", IF(AS31&lt;=4,"MEDIUM HIGH", "HIGH"))))</f>
        <v>LOW</v>
      </c>
      <c r="AU31" s="86">
        <v>1</v>
      </c>
      <c r="AV31" s="83">
        <f>AU31*C31</f>
        <v>2</v>
      </c>
      <c r="AW31" s="28" t="str">
        <f t="shared" si="4"/>
        <v>LOW RISK</v>
      </c>
    </row>
    <row r="32" spans="1:49" s="32" customFormat="1" ht="15">
      <c r="A32" s="28"/>
      <c r="B32" s="28"/>
      <c r="C32" s="28"/>
      <c r="D32" s="28"/>
      <c r="E32" s="28"/>
      <c r="F32" s="18"/>
      <c r="G32" s="28"/>
      <c r="H32" s="28"/>
      <c r="I32" s="19" t="s">
        <v>104</v>
      </c>
      <c r="J32" s="78">
        <v>180000</v>
      </c>
      <c r="K32" s="28"/>
      <c r="L32" s="79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83"/>
      <c r="AW32" s="28"/>
    </row>
    <row r="33" spans="1:49" s="32" customFormat="1" ht="15">
      <c r="A33" s="28"/>
      <c r="B33" s="28"/>
      <c r="C33" s="28"/>
      <c r="D33" s="28"/>
      <c r="E33" s="28"/>
      <c r="F33" s="18"/>
      <c r="G33" s="28"/>
      <c r="H33" s="28"/>
      <c r="I33" s="19" t="s">
        <v>105</v>
      </c>
      <c r="J33" s="78">
        <v>30000</v>
      </c>
      <c r="K33" s="28"/>
      <c r="L33" s="79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83"/>
      <c r="AW33" s="28"/>
    </row>
    <row r="34" spans="1:49" s="32" customFormat="1" ht="15">
      <c r="A34" s="28"/>
      <c r="B34" s="28"/>
      <c r="C34" s="28"/>
      <c r="D34" s="28"/>
      <c r="E34" s="28"/>
      <c r="F34" s="18"/>
      <c r="G34" s="28"/>
      <c r="H34" s="28"/>
      <c r="I34" s="19" t="s">
        <v>106</v>
      </c>
      <c r="J34" s="78">
        <v>640000</v>
      </c>
      <c r="K34" s="28"/>
      <c r="L34" s="79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83"/>
      <c r="AW34" s="28"/>
    </row>
  </sheetData>
  <mergeCells count="20">
    <mergeCell ref="AV3:AV4"/>
    <mergeCell ref="AW3:AW4"/>
    <mergeCell ref="O4:P4"/>
    <mergeCell ref="Q4:R4"/>
    <mergeCell ref="S4:T4"/>
    <mergeCell ref="U4:V4"/>
    <mergeCell ref="W4:X4"/>
    <mergeCell ref="Y4:Z4"/>
    <mergeCell ref="AC3:AD4"/>
    <mergeCell ref="AE3:AQ3"/>
    <mergeCell ref="AR3:AR4"/>
    <mergeCell ref="AS3:AS4"/>
    <mergeCell ref="AT3:AT4"/>
    <mergeCell ref="AU3:AU4"/>
    <mergeCell ref="AB3:AB4"/>
    <mergeCell ref="A3:A4"/>
    <mergeCell ref="B3:D3"/>
    <mergeCell ref="E3:M3"/>
    <mergeCell ref="N3:N4"/>
    <mergeCell ref="O3:AA3"/>
  </mergeCells>
  <conditionalFormatting sqref="AT6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7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7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9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3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3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4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7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17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2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2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2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2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2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2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3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3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decimal" errorStyle="warning" operator="greaterThan" allowBlank="1" showInputMessage="1" showErrorMessage="1" sqref="L6">
      <formula1>100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workbookViewId="0">
      <selection activeCell="A3" sqref="A3"/>
    </sheetView>
  </sheetViews>
  <sheetFormatPr defaultRowHeight="15"/>
  <cols>
    <col min="1" max="1" width="19" bestFit="1" customWidth="1"/>
    <col min="2" max="2" width="20.140625" bestFit="1" customWidth="1"/>
  </cols>
  <sheetData>
    <row r="3" spans="1:2">
      <c r="A3" s="43" t="s">
        <v>154</v>
      </c>
      <c r="B3" t="s">
        <v>199</v>
      </c>
    </row>
    <row r="4" spans="1:2">
      <c r="A4" s="44" t="s">
        <v>62</v>
      </c>
      <c r="B4" s="45">
        <v>7</v>
      </c>
    </row>
    <row r="5" spans="1:2">
      <c r="A5" s="171" t="s">
        <v>112</v>
      </c>
      <c r="B5" s="45">
        <v>4</v>
      </c>
    </row>
    <row r="6" spans="1:2">
      <c r="A6" s="171" t="s">
        <v>113</v>
      </c>
      <c r="B6" s="45">
        <v>10</v>
      </c>
    </row>
    <row r="7" spans="1:2">
      <c r="A7" s="44" t="s">
        <v>78</v>
      </c>
      <c r="B7" s="45">
        <v>3.75</v>
      </c>
    </row>
    <row r="8" spans="1:2">
      <c r="A8" s="171" t="s">
        <v>112</v>
      </c>
      <c r="B8" s="45">
        <v>3.75</v>
      </c>
    </row>
    <row r="9" spans="1:2">
      <c r="A9" s="44" t="s">
        <v>155</v>
      </c>
      <c r="B9" s="45">
        <v>5.7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X17"/>
  <sheetViews>
    <sheetView zoomScale="30" zoomScaleNormal="30" workbookViewId="0">
      <selection activeCell="AE7" sqref="AE7"/>
    </sheetView>
  </sheetViews>
  <sheetFormatPr defaultColWidth="9.140625" defaultRowHeight="14.25"/>
  <cols>
    <col min="1" max="1" width="9.140625" style="2"/>
    <col min="2" max="2" width="10.7109375" style="2" customWidth="1"/>
    <col min="3" max="3" width="14.7109375" style="2" customWidth="1"/>
    <col min="4" max="5" width="12.7109375" style="2" customWidth="1"/>
    <col min="6" max="7" width="20.7109375" style="2" customWidth="1"/>
    <col min="8" max="8" width="18.5703125" style="2" customWidth="1"/>
    <col min="9" max="9" width="12.7109375" style="2" customWidth="1"/>
    <col min="10" max="10" width="14.7109375" style="3" customWidth="1"/>
    <col min="11" max="11" width="21.7109375" style="4" customWidth="1"/>
    <col min="12" max="12" width="12.7109375" style="2" customWidth="1"/>
    <col min="13" max="13" width="12.7109375" style="5" customWidth="1"/>
    <col min="14" max="14" width="12.7109375" style="2" customWidth="1"/>
    <col min="15" max="15" width="20.7109375" style="2" customWidth="1"/>
    <col min="16" max="17" width="12.7109375" style="2" customWidth="1"/>
    <col min="18" max="18" width="20.85546875" style="2" customWidth="1"/>
    <col min="19" max="25" width="12.7109375" style="2" customWidth="1"/>
    <col min="26" max="26" width="16.42578125" style="2" customWidth="1"/>
    <col min="27" max="27" width="19.85546875" style="2" customWidth="1"/>
    <col min="28" max="28" width="15.140625" style="2" customWidth="1"/>
    <col min="29" max="29" width="15.85546875" style="2" customWidth="1"/>
    <col min="30" max="30" width="14.85546875" style="2" customWidth="1"/>
    <col min="31" max="31" width="17" style="2" customWidth="1"/>
    <col min="32" max="33" width="19.85546875" style="2" customWidth="1"/>
    <col min="34" max="34" width="20.42578125" style="2" customWidth="1"/>
    <col min="35" max="35" width="20.140625" style="2" customWidth="1"/>
    <col min="36" max="36" width="21.85546875" style="2" customWidth="1"/>
    <col min="37" max="37" width="20.42578125" style="2" customWidth="1"/>
    <col min="38" max="39" width="20.140625" style="2" customWidth="1"/>
    <col min="40" max="40" width="20.85546875" style="2" customWidth="1"/>
    <col min="41" max="41" width="21.28515625" style="2" customWidth="1"/>
    <col min="42" max="42" width="18" style="2" customWidth="1"/>
    <col min="43" max="43" width="25.42578125" style="2" customWidth="1"/>
    <col min="44" max="44" width="14.85546875" style="2" customWidth="1"/>
    <col min="45" max="45" width="17.5703125" style="2" customWidth="1"/>
    <col min="46" max="46" width="18.7109375" style="2" customWidth="1"/>
    <col min="47" max="47" width="31.28515625" style="2" customWidth="1"/>
    <col min="48" max="48" width="20.5703125" style="2" customWidth="1"/>
    <col min="49" max="49" width="9.85546875" style="2" bestFit="1" customWidth="1"/>
    <col min="50" max="50" width="23.7109375" style="2" customWidth="1"/>
    <col min="51" max="16384" width="9.140625" style="2"/>
  </cols>
  <sheetData>
    <row r="1" spans="1:50" s="32" customFormat="1" ht="126">
      <c r="A1" s="76" t="s">
        <v>114</v>
      </c>
      <c r="B1" s="33" t="s">
        <v>115</v>
      </c>
      <c r="C1" s="34" t="s">
        <v>15</v>
      </c>
      <c r="D1" s="34" t="s">
        <v>16</v>
      </c>
      <c r="E1" s="34" t="s">
        <v>17</v>
      </c>
      <c r="F1" s="34" t="s">
        <v>18</v>
      </c>
      <c r="G1" s="35" t="s">
        <v>19</v>
      </c>
      <c r="H1" s="34" t="s">
        <v>20</v>
      </c>
      <c r="I1" s="34" t="s">
        <v>21</v>
      </c>
      <c r="J1" s="34" t="s">
        <v>22</v>
      </c>
      <c r="K1" s="36" t="s">
        <v>23</v>
      </c>
      <c r="L1" s="34" t="s">
        <v>24</v>
      </c>
      <c r="M1" s="37" t="s">
        <v>25</v>
      </c>
      <c r="N1" s="34" t="s">
        <v>26</v>
      </c>
      <c r="O1" s="38" t="s">
        <v>4</v>
      </c>
      <c r="P1" s="39" t="s">
        <v>116</v>
      </c>
      <c r="Q1" s="39" t="s">
        <v>117</v>
      </c>
      <c r="R1" s="39" t="s">
        <v>118</v>
      </c>
      <c r="S1" s="39" t="s">
        <v>119</v>
      </c>
      <c r="T1" s="39" t="s">
        <v>120</v>
      </c>
      <c r="U1" s="39" t="s">
        <v>121</v>
      </c>
      <c r="V1" s="39" t="s">
        <v>122</v>
      </c>
      <c r="W1" s="39" t="s">
        <v>123</v>
      </c>
      <c r="X1" s="39" t="s">
        <v>124</v>
      </c>
      <c r="Y1" s="39" t="s">
        <v>125</v>
      </c>
      <c r="Z1" s="39" t="s">
        <v>126</v>
      </c>
      <c r="AA1" s="39" t="s">
        <v>127</v>
      </c>
      <c r="AB1" s="34" t="s">
        <v>164</v>
      </c>
      <c r="AC1" s="38" t="s">
        <v>6</v>
      </c>
      <c r="AD1" s="38" t="s">
        <v>7</v>
      </c>
      <c r="AE1" s="77" t="s">
        <v>53</v>
      </c>
      <c r="AF1" s="34" t="s">
        <v>128</v>
      </c>
      <c r="AG1" s="34" t="s">
        <v>129</v>
      </c>
      <c r="AH1" s="34" t="s">
        <v>131</v>
      </c>
      <c r="AI1" s="34" t="s">
        <v>130</v>
      </c>
      <c r="AJ1" s="34" t="s">
        <v>132</v>
      </c>
      <c r="AK1" s="34" t="s">
        <v>133</v>
      </c>
      <c r="AL1" s="34" t="s">
        <v>134</v>
      </c>
      <c r="AM1" s="34" t="s">
        <v>135</v>
      </c>
      <c r="AN1" s="34" t="s">
        <v>136</v>
      </c>
      <c r="AO1" s="34" t="s">
        <v>137</v>
      </c>
      <c r="AP1" s="34" t="s">
        <v>138</v>
      </c>
      <c r="AQ1" s="77" t="s">
        <v>139</v>
      </c>
      <c r="AR1" s="77" t="s">
        <v>140</v>
      </c>
      <c r="AS1" s="40" t="s">
        <v>9</v>
      </c>
      <c r="AT1" s="40" t="s">
        <v>10</v>
      </c>
      <c r="AU1" s="40" t="s">
        <v>11</v>
      </c>
      <c r="AV1" s="40" t="s">
        <v>12</v>
      </c>
      <c r="AW1" s="41" t="s">
        <v>13</v>
      </c>
      <c r="AX1" s="42" t="s">
        <v>14</v>
      </c>
    </row>
    <row r="2" spans="1:50" ht="150">
      <c r="A2" s="24" t="s">
        <v>141</v>
      </c>
      <c r="B2" s="17" t="s">
        <v>142</v>
      </c>
      <c r="C2" s="17" t="s">
        <v>173</v>
      </c>
      <c r="D2" s="17">
        <v>2</v>
      </c>
      <c r="E2" s="17" t="s">
        <v>169</v>
      </c>
      <c r="F2" s="17" t="s">
        <v>62</v>
      </c>
      <c r="G2" s="18" t="s">
        <v>63</v>
      </c>
      <c r="H2" s="17">
        <v>30</v>
      </c>
      <c r="I2" s="17">
        <v>354.8775</v>
      </c>
      <c r="J2" s="19" t="s">
        <v>64</v>
      </c>
      <c r="K2" s="20">
        <v>750000</v>
      </c>
      <c r="L2" s="17">
        <v>180.69</v>
      </c>
      <c r="M2" s="21">
        <v>0.52449999999999997</v>
      </c>
      <c r="N2" s="17">
        <v>3</v>
      </c>
      <c r="O2" s="17"/>
      <c r="P2" s="21">
        <v>0.30831226295828068</v>
      </c>
      <c r="Q2" s="17">
        <v>3</v>
      </c>
      <c r="R2" s="21">
        <v>0.44999999999999996</v>
      </c>
      <c r="S2" s="17">
        <v>4</v>
      </c>
      <c r="T2" s="22">
        <v>0.24</v>
      </c>
      <c r="U2" s="17">
        <v>1</v>
      </c>
      <c r="V2" s="21">
        <v>0.7</v>
      </c>
      <c r="W2" s="17">
        <v>5</v>
      </c>
      <c r="X2" s="92">
        <v>0.76296355117922698</v>
      </c>
      <c r="Y2" s="17">
        <v>2</v>
      </c>
      <c r="Z2" s="108">
        <v>0.06</v>
      </c>
      <c r="AA2" s="17">
        <v>1</v>
      </c>
      <c r="AB2" s="100">
        <v>2.6666666666666665</v>
      </c>
      <c r="AC2" s="23"/>
      <c r="AD2" s="24">
        <v>3.7</v>
      </c>
      <c r="AE2" s="25" t="s">
        <v>107</v>
      </c>
      <c r="AF2" s="24" t="s">
        <v>65</v>
      </c>
      <c r="AG2" s="93">
        <v>3</v>
      </c>
      <c r="AH2" s="24" t="s">
        <v>66</v>
      </c>
      <c r="AI2" s="17">
        <v>3</v>
      </c>
      <c r="AJ2" s="24" t="s">
        <v>67</v>
      </c>
      <c r="AK2" s="17">
        <v>3</v>
      </c>
      <c r="AL2" s="24" t="s">
        <v>68</v>
      </c>
      <c r="AM2" s="17">
        <v>4</v>
      </c>
      <c r="AN2" s="24" t="s">
        <v>69</v>
      </c>
      <c r="AO2" s="24">
        <v>3</v>
      </c>
      <c r="AP2" s="106" t="s">
        <v>70</v>
      </c>
      <c r="AQ2" s="17">
        <v>3</v>
      </c>
      <c r="AR2" s="23">
        <v>3.1666666666666665</v>
      </c>
      <c r="AS2" s="17"/>
      <c r="AT2" s="17">
        <v>1.2</v>
      </c>
      <c r="AU2" s="23" t="s">
        <v>108</v>
      </c>
      <c r="AV2" s="86">
        <v>4</v>
      </c>
      <c r="AW2" s="28">
        <v>12</v>
      </c>
      <c r="AX2" s="28" t="s">
        <v>198</v>
      </c>
    </row>
    <row r="3" spans="1:50" ht="150">
      <c r="A3" s="24" t="s">
        <v>141</v>
      </c>
      <c r="B3" s="17" t="s">
        <v>142</v>
      </c>
      <c r="C3" s="17" t="s">
        <v>173</v>
      </c>
      <c r="D3" s="17">
        <v>2</v>
      </c>
      <c r="E3" s="17" t="s">
        <v>168</v>
      </c>
      <c r="F3" s="17" t="s">
        <v>62</v>
      </c>
      <c r="G3" s="18" t="s">
        <v>73</v>
      </c>
      <c r="H3" s="17">
        <v>210</v>
      </c>
      <c r="I3" s="17">
        <v>831.52300000000002</v>
      </c>
      <c r="J3" s="19" t="s">
        <v>162</v>
      </c>
      <c r="K3" s="20">
        <v>3150000</v>
      </c>
      <c r="L3" s="27">
        <v>98.59</v>
      </c>
      <c r="M3" s="21">
        <v>0.21229999999999999</v>
      </c>
      <c r="N3" s="17">
        <v>2</v>
      </c>
      <c r="O3" s="17"/>
      <c r="P3" s="21">
        <v>0.48387755102040814</v>
      </c>
      <c r="Q3" s="17">
        <v>4</v>
      </c>
      <c r="R3" s="21">
        <v>0.19999999999999996</v>
      </c>
      <c r="S3" s="17">
        <v>3</v>
      </c>
      <c r="T3" s="22">
        <v>0.19999999999999996</v>
      </c>
      <c r="U3" s="17">
        <v>1</v>
      </c>
      <c r="V3" s="21">
        <v>0.89</v>
      </c>
      <c r="W3" s="17">
        <v>5</v>
      </c>
      <c r="X3" s="92">
        <v>0.73424584481379407</v>
      </c>
      <c r="Y3" s="17">
        <v>2</v>
      </c>
      <c r="Z3" s="21">
        <v>0.105</v>
      </c>
      <c r="AA3" s="17">
        <v>1</v>
      </c>
      <c r="AB3" s="100">
        <v>2.6666666666666665</v>
      </c>
      <c r="AC3" s="17"/>
      <c r="AD3" s="23">
        <v>3.6</v>
      </c>
      <c r="AE3" s="17" t="s">
        <v>107</v>
      </c>
      <c r="AF3" s="24" t="s">
        <v>65</v>
      </c>
      <c r="AG3" s="25">
        <v>3</v>
      </c>
      <c r="AH3" s="24" t="s">
        <v>75</v>
      </c>
      <c r="AI3" s="17">
        <v>3</v>
      </c>
      <c r="AJ3" s="24" t="s">
        <v>76</v>
      </c>
      <c r="AK3" s="17">
        <v>3</v>
      </c>
      <c r="AL3" s="24" t="s">
        <v>68</v>
      </c>
      <c r="AM3" s="17">
        <v>3</v>
      </c>
      <c r="AN3" s="24" t="s">
        <v>69</v>
      </c>
      <c r="AO3" s="17">
        <v>3</v>
      </c>
      <c r="AP3" s="107" t="s">
        <v>70</v>
      </c>
      <c r="AQ3" s="24">
        <v>3</v>
      </c>
      <c r="AR3" s="26">
        <v>3</v>
      </c>
      <c r="AS3" s="17"/>
      <c r="AT3" s="23">
        <v>1.2</v>
      </c>
      <c r="AU3" s="23" t="s">
        <v>108</v>
      </c>
      <c r="AV3" s="86">
        <v>3</v>
      </c>
      <c r="AW3" s="83">
        <v>9</v>
      </c>
      <c r="AX3" s="28" t="s">
        <v>198</v>
      </c>
    </row>
    <row r="4" spans="1:50" ht="150">
      <c r="A4" s="24" t="s">
        <v>141</v>
      </c>
      <c r="B4" s="17" t="s">
        <v>142</v>
      </c>
      <c r="C4" s="17" t="s">
        <v>173</v>
      </c>
      <c r="D4" s="17">
        <v>2</v>
      </c>
      <c r="E4" s="17" t="s">
        <v>167</v>
      </c>
      <c r="F4" s="17" t="s">
        <v>78</v>
      </c>
      <c r="G4" s="18" t="s">
        <v>79</v>
      </c>
      <c r="H4" s="17">
        <v>400</v>
      </c>
      <c r="I4" s="17">
        <v>761.83199999999999</v>
      </c>
      <c r="J4" s="19" t="s">
        <v>71</v>
      </c>
      <c r="K4" s="20">
        <v>1908000</v>
      </c>
      <c r="L4" s="28">
        <v>100.56</v>
      </c>
      <c r="M4" s="21">
        <v>0.16769999999999999</v>
      </c>
      <c r="N4" s="17">
        <v>1</v>
      </c>
      <c r="O4" s="17"/>
      <c r="P4" s="21">
        <v>0.53782851075126092</v>
      </c>
      <c r="Q4" s="17">
        <v>5</v>
      </c>
      <c r="R4" s="103">
        <v>0.44999999999999996</v>
      </c>
      <c r="S4" s="104">
        <v>4</v>
      </c>
      <c r="T4" s="103">
        <v>0.32999999999999996</v>
      </c>
      <c r="U4" s="104">
        <v>2</v>
      </c>
      <c r="V4" s="103">
        <v>0.87</v>
      </c>
      <c r="W4" s="104">
        <v>5</v>
      </c>
      <c r="X4" s="105">
        <v>0.89571428571428602</v>
      </c>
      <c r="Y4" s="104">
        <v>1</v>
      </c>
      <c r="Z4" s="109">
        <v>0.2</v>
      </c>
      <c r="AA4" s="104">
        <v>2</v>
      </c>
      <c r="AB4" s="100">
        <v>3.1666666666666665</v>
      </c>
      <c r="AC4" s="17"/>
      <c r="AD4" s="17">
        <v>3.2</v>
      </c>
      <c r="AE4" s="17" t="s">
        <v>107</v>
      </c>
      <c r="AF4" s="24" t="s">
        <v>65</v>
      </c>
      <c r="AG4" s="24">
        <v>3</v>
      </c>
      <c r="AH4" s="24" t="s">
        <v>66</v>
      </c>
      <c r="AI4" s="24">
        <v>3</v>
      </c>
      <c r="AJ4" s="24" t="s">
        <v>80</v>
      </c>
      <c r="AK4" s="24">
        <v>3</v>
      </c>
      <c r="AL4" s="24" t="s">
        <v>68</v>
      </c>
      <c r="AM4" s="24">
        <v>3</v>
      </c>
      <c r="AN4" s="24" t="s">
        <v>69</v>
      </c>
      <c r="AO4" s="24">
        <v>3</v>
      </c>
      <c r="AP4" s="24" t="s">
        <v>70</v>
      </c>
      <c r="AQ4" s="24">
        <v>3</v>
      </c>
      <c r="AR4" s="24">
        <v>3</v>
      </c>
      <c r="AS4" s="24"/>
      <c r="AT4" s="24">
        <v>1.0666666666666667</v>
      </c>
      <c r="AU4" s="24" t="s">
        <v>108</v>
      </c>
      <c r="AV4" s="84">
        <v>2</v>
      </c>
      <c r="AW4" s="84">
        <v>6</v>
      </c>
      <c r="AX4" s="84" t="s">
        <v>198</v>
      </c>
    </row>
    <row r="5" spans="1:50" ht="150">
      <c r="A5" s="24" t="s">
        <v>141</v>
      </c>
      <c r="B5" s="17" t="s">
        <v>142</v>
      </c>
      <c r="C5" s="17" t="s">
        <v>173</v>
      </c>
      <c r="D5" s="17">
        <v>2</v>
      </c>
      <c r="E5" s="17" t="s">
        <v>168</v>
      </c>
      <c r="F5" s="17" t="s">
        <v>78</v>
      </c>
      <c r="G5" s="17" t="s">
        <v>83</v>
      </c>
      <c r="H5" s="17">
        <v>89</v>
      </c>
      <c r="I5" s="17">
        <v>699.63199999999995</v>
      </c>
      <c r="J5" s="19" t="s">
        <v>84</v>
      </c>
      <c r="K5" s="20">
        <v>6000000</v>
      </c>
      <c r="L5" s="17">
        <v>10.44</v>
      </c>
      <c r="M5" s="21">
        <v>1.7500000000000002E-2</v>
      </c>
      <c r="N5" s="17">
        <v>1</v>
      </c>
      <c r="O5" s="17"/>
      <c r="P5" s="17">
        <v>0.51080380293863437</v>
      </c>
      <c r="Q5" s="17">
        <v>4</v>
      </c>
      <c r="R5" s="17">
        <v>0.44999999999999996</v>
      </c>
      <c r="S5" s="17">
        <v>4</v>
      </c>
      <c r="T5" s="17">
        <v>0.25</v>
      </c>
      <c r="U5" s="17">
        <v>1</v>
      </c>
      <c r="V5" s="17">
        <v>0.64</v>
      </c>
      <c r="W5" s="17">
        <v>5</v>
      </c>
      <c r="X5" s="17">
        <v>0.95365079365079375</v>
      </c>
      <c r="Y5" s="17">
        <v>1</v>
      </c>
      <c r="Z5" s="21">
        <v>0.17799999999999999</v>
      </c>
      <c r="AA5" s="17">
        <v>2</v>
      </c>
      <c r="AB5" s="100">
        <v>2.8333333333333335</v>
      </c>
      <c r="AC5" s="17"/>
      <c r="AD5" s="23">
        <v>2.1</v>
      </c>
      <c r="AE5" s="17" t="s">
        <v>110</v>
      </c>
      <c r="AF5" s="24" t="s">
        <v>65</v>
      </c>
      <c r="AG5" s="25">
        <v>3</v>
      </c>
      <c r="AH5" s="24" t="s">
        <v>85</v>
      </c>
      <c r="AI5" s="17">
        <v>3</v>
      </c>
      <c r="AJ5" s="24" t="s">
        <v>86</v>
      </c>
      <c r="AK5" s="17">
        <v>3</v>
      </c>
      <c r="AL5" s="24" t="s">
        <v>68</v>
      </c>
      <c r="AM5" s="17">
        <v>3</v>
      </c>
      <c r="AN5" s="24" t="s">
        <v>69</v>
      </c>
      <c r="AO5" s="17">
        <v>3</v>
      </c>
      <c r="AP5" s="107" t="s">
        <v>70</v>
      </c>
      <c r="AQ5" s="24">
        <v>3</v>
      </c>
      <c r="AR5" s="26">
        <v>3</v>
      </c>
      <c r="AS5" s="17"/>
      <c r="AT5" s="23">
        <v>0.70000000000000007</v>
      </c>
      <c r="AU5" s="23" t="s">
        <v>111</v>
      </c>
      <c r="AV5" s="86">
        <v>1</v>
      </c>
      <c r="AW5" s="83">
        <v>3</v>
      </c>
      <c r="AX5" s="28" t="s">
        <v>198</v>
      </c>
    </row>
    <row r="6" spans="1:50" ht="150">
      <c r="A6" s="24" t="s">
        <v>141</v>
      </c>
      <c r="B6" s="17" t="s">
        <v>142</v>
      </c>
      <c r="C6" s="17" t="s">
        <v>173</v>
      </c>
      <c r="D6" s="17">
        <v>2</v>
      </c>
      <c r="E6" s="17" t="s">
        <v>168</v>
      </c>
      <c r="F6" s="17" t="s">
        <v>81</v>
      </c>
      <c r="G6" s="18" t="s">
        <v>87</v>
      </c>
      <c r="H6" s="17">
        <v>300</v>
      </c>
      <c r="I6" s="17">
        <v>690.81399999999996</v>
      </c>
      <c r="J6" s="19" t="s">
        <v>159</v>
      </c>
      <c r="K6" s="20">
        <v>8000000</v>
      </c>
      <c r="L6" s="17">
        <v>36.409999999999997</v>
      </c>
      <c r="M6" s="21">
        <v>6.25E-2</v>
      </c>
      <c r="N6" s="17">
        <v>1</v>
      </c>
      <c r="O6" s="17"/>
      <c r="P6" s="21">
        <v>0.57031554343591739</v>
      </c>
      <c r="Q6" s="102">
        <v>4</v>
      </c>
      <c r="R6" s="21">
        <v>0.44999999999999996</v>
      </c>
      <c r="S6" s="17">
        <v>4</v>
      </c>
      <c r="T6" s="22">
        <v>0.33999999999999997</v>
      </c>
      <c r="U6" s="17">
        <v>2</v>
      </c>
      <c r="V6" s="21">
        <v>0.53</v>
      </c>
      <c r="W6" s="17">
        <v>5</v>
      </c>
      <c r="X6" s="92">
        <v>0.90708729472774419</v>
      </c>
      <c r="Y6" s="17">
        <v>1</v>
      </c>
      <c r="Z6" s="108">
        <v>0.3</v>
      </c>
      <c r="AA6" s="17">
        <v>3</v>
      </c>
      <c r="AB6" s="100">
        <v>3.1666666666666665</v>
      </c>
      <c r="AC6" s="17"/>
      <c r="AD6" s="23">
        <v>3.7</v>
      </c>
      <c r="AE6" s="17" t="s">
        <v>107</v>
      </c>
      <c r="AF6" s="24" t="s">
        <v>65</v>
      </c>
      <c r="AG6" s="25">
        <v>3</v>
      </c>
      <c r="AH6" s="24" t="s">
        <v>72</v>
      </c>
      <c r="AI6" s="17">
        <v>3</v>
      </c>
      <c r="AJ6" s="24" t="s">
        <v>89</v>
      </c>
      <c r="AK6" s="17">
        <v>3</v>
      </c>
      <c r="AL6" s="24" t="s">
        <v>68</v>
      </c>
      <c r="AM6" s="17">
        <v>3</v>
      </c>
      <c r="AN6" s="24" t="s">
        <v>69</v>
      </c>
      <c r="AO6" s="17">
        <v>3</v>
      </c>
      <c r="AP6" s="107" t="s">
        <v>70</v>
      </c>
      <c r="AQ6" s="24">
        <v>3</v>
      </c>
      <c r="AR6" s="26">
        <v>3</v>
      </c>
      <c r="AS6" s="17"/>
      <c r="AT6" s="23">
        <v>1.2333333333333334</v>
      </c>
      <c r="AU6" s="23" t="s">
        <v>108</v>
      </c>
      <c r="AV6" s="86">
        <v>1</v>
      </c>
      <c r="AW6" s="83">
        <v>3</v>
      </c>
      <c r="AX6" s="28" t="s">
        <v>198</v>
      </c>
    </row>
    <row r="7" spans="1:50" ht="150">
      <c r="A7" s="24" t="s">
        <v>141</v>
      </c>
      <c r="B7" s="17" t="s">
        <v>142</v>
      </c>
      <c r="C7" s="17" t="s">
        <v>173</v>
      </c>
      <c r="D7" s="17">
        <v>2</v>
      </c>
      <c r="E7" s="17" t="s">
        <v>167</v>
      </c>
      <c r="F7" s="17" t="s">
        <v>78</v>
      </c>
      <c r="G7" s="18" t="s">
        <v>91</v>
      </c>
      <c r="H7" s="17">
        <v>500</v>
      </c>
      <c r="I7" s="17">
        <v>1995.4369999999999</v>
      </c>
      <c r="J7" s="19" t="s">
        <v>82</v>
      </c>
      <c r="K7" s="20">
        <v>350000</v>
      </c>
      <c r="L7" s="17">
        <v>5.49</v>
      </c>
      <c r="M7" s="21">
        <v>3.5000000000000001E-3</v>
      </c>
      <c r="N7" s="17">
        <v>1</v>
      </c>
      <c r="O7" s="17"/>
      <c r="P7" s="21">
        <v>0.53847703464947627</v>
      </c>
      <c r="Q7" s="102">
        <v>5</v>
      </c>
      <c r="R7" s="21">
        <v>0.44999999999999996</v>
      </c>
      <c r="S7" s="29">
        <v>4</v>
      </c>
      <c r="T7" s="21">
        <v>0.41000000000000003</v>
      </c>
      <c r="U7" s="17">
        <v>3</v>
      </c>
      <c r="V7" s="21">
        <v>0.45</v>
      </c>
      <c r="W7" s="17">
        <v>4</v>
      </c>
      <c r="X7" s="30">
        <v>1</v>
      </c>
      <c r="Y7" s="17">
        <v>1</v>
      </c>
      <c r="Z7" s="108">
        <v>0.5</v>
      </c>
      <c r="AA7" s="17">
        <v>5</v>
      </c>
      <c r="AB7" s="100">
        <v>3.6666666666666665</v>
      </c>
      <c r="AC7" s="17"/>
      <c r="AD7" s="23">
        <v>2.7</v>
      </c>
      <c r="AE7" s="17" t="s">
        <v>110</v>
      </c>
      <c r="AF7" s="24" t="s">
        <v>90</v>
      </c>
      <c r="AG7" s="25">
        <v>4</v>
      </c>
      <c r="AH7" s="24" t="s">
        <v>92</v>
      </c>
      <c r="AI7" s="17">
        <v>4</v>
      </c>
      <c r="AJ7" s="24" t="s">
        <v>93</v>
      </c>
      <c r="AK7" s="17">
        <v>3</v>
      </c>
      <c r="AL7" s="24" t="s">
        <v>68</v>
      </c>
      <c r="AM7" s="17">
        <v>3</v>
      </c>
      <c r="AN7" s="24" t="s">
        <v>69</v>
      </c>
      <c r="AO7" s="17">
        <v>3</v>
      </c>
      <c r="AP7" s="107" t="s">
        <v>70</v>
      </c>
      <c r="AQ7" s="24">
        <v>3</v>
      </c>
      <c r="AR7" s="26">
        <v>3.3333333333333335</v>
      </c>
      <c r="AS7" s="17"/>
      <c r="AT7" s="23">
        <v>0.81</v>
      </c>
      <c r="AU7" s="23" t="s">
        <v>111</v>
      </c>
      <c r="AV7" s="86">
        <v>1</v>
      </c>
      <c r="AW7" s="83">
        <v>3</v>
      </c>
      <c r="AX7" s="28" t="s">
        <v>112</v>
      </c>
    </row>
    <row r="8" spans="1:50" ht="150">
      <c r="A8" s="24" t="s">
        <v>141</v>
      </c>
      <c r="B8" s="17" t="s">
        <v>142</v>
      </c>
      <c r="C8" s="17" t="s">
        <v>173</v>
      </c>
      <c r="D8" s="17">
        <v>2</v>
      </c>
      <c r="E8" s="17" t="s">
        <v>109</v>
      </c>
      <c r="F8" s="17" t="s">
        <v>81</v>
      </c>
      <c r="G8" s="18" t="s">
        <v>95</v>
      </c>
      <c r="H8" s="17">
        <v>360</v>
      </c>
      <c r="I8" s="17">
        <v>696.03599999999994</v>
      </c>
      <c r="J8" s="19" t="s">
        <v>96</v>
      </c>
      <c r="K8" s="20">
        <v>2700000</v>
      </c>
      <c r="L8" s="17">
        <v>36.35</v>
      </c>
      <c r="M8" s="21">
        <v>0.16900000000000001</v>
      </c>
      <c r="N8" s="17">
        <v>1</v>
      </c>
      <c r="O8" s="17"/>
      <c r="P8" s="96">
        <v>0.44053464266230224</v>
      </c>
      <c r="Q8" s="17">
        <v>4</v>
      </c>
      <c r="R8" s="21">
        <v>0.44999999999999996</v>
      </c>
      <c r="S8" s="17">
        <v>4</v>
      </c>
      <c r="T8" s="21">
        <v>0.36</v>
      </c>
      <c r="U8" s="17">
        <v>2</v>
      </c>
      <c r="V8" s="21">
        <v>0.6</v>
      </c>
      <c r="W8" s="17">
        <v>5</v>
      </c>
      <c r="X8" s="30">
        <v>1</v>
      </c>
      <c r="Y8" s="17">
        <v>1</v>
      </c>
      <c r="Z8" s="108">
        <v>0.36</v>
      </c>
      <c r="AA8" s="17">
        <v>4</v>
      </c>
      <c r="AB8" s="100">
        <v>3.3333333333333335</v>
      </c>
      <c r="AC8" s="17"/>
      <c r="AD8" s="23">
        <v>2.2000000000000002</v>
      </c>
      <c r="AE8" s="17" t="s">
        <v>110</v>
      </c>
      <c r="AF8" s="24" t="s">
        <v>65</v>
      </c>
      <c r="AG8" s="25">
        <v>3</v>
      </c>
      <c r="AH8" s="24" t="s">
        <v>66</v>
      </c>
      <c r="AI8" s="17">
        <v>3</v>
      </c>
      <c r="AJ8" s="24" t="s">
        <v>97</v>
      </c>
      <c r="AK8" s="17">
        <v>3</v>
      </c>
      <c r="AL8" s="24" t="s">
        <v>68</v>
      </c>
      <c r="AM8" s="17">
        <v>3</v>
      </c>
      <c r="AN8" s="24" t="s">
        <v>69</v>
      </c>
      <c r="AO8" s="17">
        <v>3</v>
      </c>
      <c r="AP8" s="107" t="s">
        <v>70</v>
      </c>
      <c r="AQ8" s="24">
        <v>3</v>
      </c>
      <c r="AR8" s="26">
        <v>3</v>
      </c>
      <c r="AS8" s="17"/>
      <c r="AT8" s="23">
        <v>0.73333333333333339</v>
      </c>
      <c r="AU8" s="23" t="s">
        <v>111</v>
      </c>
      <c r="AV8" s="86">
        <v>2</v>
      </c>
      <c r="AW8" s="83">
        <v>6</v>
      </c>
      <c r="AX8" s="28" t="s">
        <v>112</v>
      </c>
    </row>
    <row r="9" spans="1:50" ht="150">
      <c r="A9" s="24" t="s">
        <v>141</v>
      </c>
      <c r="B9" s="17" t="s">
        <v>142</v>
      </c>
      <c r="C9" s="17" t="s">
        <v>173</v>
      </c>
      <c r="D9" s="17">
        <v>2</v>
      </c>
      <c r="E9" s="17" t="s">
        <v>109</v>
      </c>
      <c r="F9" s="17" t="s">
        <v>81</v>
      </c>
      <c r="G9" s="18" t="s">
        <v>98</v>
      </c>
      <c r="H9" s="17">
        <v>1150</v>
      </c>
      <c r="I9" s="17">
        <v>390.36799999999999</v>
      </c>
      <c r="J9" s="19" t="s">
        <v>160</v>
      </c>
      <c r="K9" s="20">
        <v>1509000</v>
      </c>
      <c r="L9" s="17">
        <v>107.15</v>
      </c>
      <c r="M9" s="21">
        <v>0.37219999999999998</v>
      </c>
      <c r="N9" s="17">
        <v>2</v>
      </c>
      <c r="O9" s="17"/>
      <c r="P9" s="21">
        <v>0.13721404093729739</v>
      </c>
      <c r="Q9" s="17">
        <v>2</v>
      </c>
      <c r="R9" s="21">
        <v>0.44999999999999996</v>
      </c>
      <c r="S9" s="17">
        <v>4</v>
      </c>
      <c r="T9" s="21">
        <v>0.19999999999999996</v>
      </c>
      <c r="U9" s="17">
        <v>1</v>
      </c>
      <c r="V9" s="21">
        <v>0.68</v>
      </c>
      <c r="W9" s="17">
        <v>5</v>
      </c>
      <c r="X9" s="30">
        <v>0.73256460127813305</v>
      </c>
      <c r="Y9" s="17">
        <v>2</v>
      </c>
      <c r="Z9" s="108">
        <v>0.46</v>
      </c>
      <c r="AA9" s="17">
        <v>4</v>
      </c>
      <c r="AB9" s="100">
        <v>3</v>
      </c>
      <c r="AC9" s="101"/>
      <c r="AD9" s="23">
        <v>3.7</v>
      </c>
      <c r="AE9" s="17" t="s">
        <v>107</v>
      </c>
      <c r="AF9" s="24" t="s">
        <v>65</v>
      </c>
      <c r="AG9" s="25">
        <v>3</v>
      </c>
      <c r="AH9" s="24" t="s">
        <v>66</v>
      </c>
      <c r="AI9" s="17">
        <v>3</v>
      </c>
      <c r="AJ9" s="24" t="s">
        <v>97</v>
      </c>
      <c r="AK9" s="17">
        <v>3</v>
      </c>
      <c r="AL9" s="24" t="s">
        <v>68</v>
      </c>
      <c r="AM9" s="17">
        <v>3</v>
      </c>
      <c r="AN9" s="24" t="s">
        <v>69</v>
      </c>
      <c r="AO9" s="17">
        <v>3</v>
      </c>
      <c r="AP9" s="107" t="s">
        <v>70</v>
      </c>
      <c r="AQ9" s="24">
        <v>3</v>
      </c>
      <c r="AR9" s="26">
        <v>3</v>
      </c>
      <c r="AS9" s="17"/>
      <c r="AT9" s="23">
        <v>1.2333333333333334</v>
      </c>
      <c r="AU9" s="23" t="s">
        <v>108</v>
      </c>
      <c r="AV9" s="86">
        <v>3</v>
      </c>
      <c r="AW9" s="83">
        <v>9</v>
      </c>
      <c r="AX9" s="28" t="s">
        <v>112</v>
      </c>
    </row>
    <row r="10" spans="1:50" ht="150">
      <c r="A10" s="24" t="s">
        <v>141</v>
      </c>
      <c r="B10" s="17" t="s">
        <v>142</v>
      </c>
      <c r="C10" s="17" t="s">
        <v>173</v>
      </c>
      <c r="D10" s="17">
        <v>2</v>
      </c>
      <c r="E10" s="17" t="s">
        <v>168</v>
      </c>
      <c r="F10" s="17" t="s">
        <v>81</v>
      </c>
      <c r="G10" s="18" t="s">
        <v>99</v>
      </c>
      <c r="H10" s="17">
        <v>350</v>
      </c>
      <c r="I10" s="17">
        <v>511.495</v>
      </c>
      <c r="J10" s="19" t="s">
        <v>88</v>
      </c>
      <c r="K10" s="20">
        <v>26500000</v>
      </c>
      <c r="L10" s="17">
        <v>14.26</v>
      </c>
      <c r="M10" s="21">
        <v>4.2200000000000001E-2</v>
      </c>
      <c r="N10" s="17">
        <v>1</v>
      </c>
      <c r="O10" s="17"/>
      <c r="P10" s="97">
        <v>0.44053464266230224</v>
      </c>
      <c r="Q10" s="17">
        <v>4</v>
      </c>
      <c r="R10" s="21">
        <v>0.55000000000000004</v>
      </c>
      <c r="S10" s="17">
        <v>5</v>
      </c>
      <c r="T10" s="30">
        <v>0.23499999999999999</v>
      </c>
      <c r="U10" s="17">
        <v>2</v>
      </c>
      <c r="V10" s="21">
        <v>0.67</v>
      </c>
      <c r="W10" s="17">
        <v>5</v>
      </c>
      <c r="X10" s="30">
        <v>0.86061102018548796</v>
      </c>
      <c r="Y10" s="17">
        <v>1</v>
      </c>
      <c r="Z10" s="108">
        <v>0.21</v>
      </c>
      <c r="AA10" s="17">
        <v>2</v>
      </c>
      <c r="AB10" s="100">
        <v>3.1666666666666665</v>
      </c>
      <c r="AC10" s="101"/>
      <c r="AD10" s="23">
        <v>3.8</v>
      </c>
      <c r="AE10" s="17" t="s">
        <v>107</v>
      </c>
      <c r="AF10" s="24" t="s">
        <v>65</v>
      </c>
      <c r="AG10" s="25">
        <v>3</v>
      </c>
      <c r="AH10" s="24" t="s">
        <v>85</v>
      </c>
      <c r="AI10" s="17">
        <v>3</v>
      </c>
      <c r="AJ10" s="24" t="s">
        <v>100</v>
      </c>
      <c r="AK10" s="17">
        <v>3</v>
      </c>
      <c r="AL10" s="24" t="s">
        <v>68</v>
      </c>
      <c r="AM10" s="17">
        <v>3</v>
      </c>
      <c r="AN10" s="24" t="s">
        <v>69</v>
      </c>
      <c r="AO10" s="17">
        <v>3</v>
      </c>
      <c r="AP10" s="24" t="s">
        <v>70</v>
      </c>
      <c r="AQ10" s="24">
        <v>3</v>
      </c>
      <c r="AR10" s="26">
        <v>3</v>
      </c>
      <c r="AS10" s="17"/>
      <c r="AT10" s="23">
        <v>1.2666666666666666</v>
      </c>
      <c r="AU10" s="23" t="s">
        <v>108</v>
      </c>
      <c r="AV10" s="86">
        <v>1</v>
      </c>
      <c r="AW10" s="83">
        <v>3</v>
      </c>
      <c r="AX10" s="28" t="s">
        <v>112</v>
      </c>
    </row>
    <row r="11" spans="1:50" ht="150">
      <c r="A11" s="24" t="s">
        <v>141</v>
      </c>
      <c r="B11" s="17" t="s">
        <v>142</v>
      </c>
      <c r="C11" s="17" t="s">
        <v>173</v>
      </c>
      <c r="D11" s="17">
        <v>2</v>
      </c>
      <c r="E11" s="17" t="s">
        <v>109</v>
      </c>
      <c r="F11" s="17" t="s">
        <v>78</v>
      </c>
      <c r="G11" s="18" t="s">
        <v>101</v>
      </c>
      <c r="H11" s="31">
        <v>680</v>
      </c>
      <c r="I11" s="17">
        <v>1021.4001000000001</v>
      </c>
      <c r="J11" s="19" t="s">
        <v>161</v>
      </c>
      <c r="K11" s="20">
        <v>970000</v>
      </c>
      <c r="L11" s="17">
        <v>5.82</v>
      </c>
      <c r="M11" s="21">
        <v>5.7999999999999996E-3</v>
      </c>
      <c r="N11" s="17">
        <v>1</v>
      </c>
      <c r="O11" s="17"/>
      <c r="P11" s="97">
        <v>0.61360832011281508</v>
      </c>
      <c r="Q11" s="17">
        <v>5</v>
      </c>
      <c r="R11" s="21">
        <v>0.55000000000000004</v>
      </c>
      <c r="S11" s="17">
        <v>5</v>
      </c>
      <c r="T11" s="30">
        <v>0.39</v>
      </c>
      <c r="U11" s="17">
        <v>3</v>
      </c>
      <c r="V11" s="21">
        <v>0.46</v>
      </c>
      <c r="W11" s="17">
        <v>4</v>
      </c>
      <c r="X11" s="30">
        <v>1</v>
      </c>
      <c r="Y11" s="17">
        <v>1</v>
      </c>
      <c r="Z11" s="108">
        <v>0.68</v>
      </c>
      <c r="AA11" s="17">
        <v>5</v>
      </c>
      <c r="AB11" s="100">
        <v>3.8333333333333335</v>
      </c>
      <c r="AC11" s="101"/>
      <c r="AD11" s="23">
        <v>2.2999999999999998</v>
      </c>
      <c r="AE11" s="17" t="s">
        <v>110</v>
      </c>
      <c r="AF11" s="24" t="s">
        <v>90</v>
      </c>
      <c r="AG11" s="25">
        <v>4</v>
      </c>
      <c r="AH11" s="24" t="s">
        <v>103</v>
      </c>
      <c r="AI11" s="17">
        <v>2</v>
      </c>
      <c r="AJ11" s="24" t="s">
        <v>97</v>
      </c>
      <c r="AK11" s="17">
        <v>3</v>
      </c>
      <c r="AL11" s="24" t="s">
        <v>68</v>
      </c>
      <c r="AM11" s="17">
        <v>3</v>
      </c>
      <c r="AN11" s="24" t="s">
        <v>69</v>
      </c>
      <c r="AO11" s="17">
        <v>3</v>
      </c>
      <c r="AP11" s="24" t="s">
        <v>70</v>
      </c>
      <c r="AQ11" s="24">
        <v>3</v>
      </c>
      <c r="AR11" s="26">
        <v>3</v>
      </c>
      <c r="AS11" s="17"/>
      <c r="AT11" s="23">
        <v>0.76666666666666661</v>
      </c>
      <c r="AU11" s="23" t="s">
        <v>111</v>
      </c>
      <c r="AV11" s="86">
        <v>1</v>
      </c>
      <c r="AW11" s="83">
        <v>3</v>
      </c>
      <c r="AX11" s="28" t="s">
        <v>112</v>
      </c>
    </row>
    <row r="12" spans="1:50" ht="15">
      <c r="A12" s="93"/>
      <c r="B12" s="93"/>
      <c r="C12" s="93"/>
      <c r="D12" s="93"/>
      <c r="E12" s="93"/>
      <c r="F12" s="93"/>
      <c r="G12" s="93"/>
      <c r="H12" s="93"/>
      <c r="I12" s="93"/>
      <c r="J12" s="94"/>
      <c r="K12" s="98"/>
      <c r="L12" s="93"/>
      <c r="M12" s="95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9"/>
      <c r="AW12" s="99"/>
      <c r="AX12" s="99"/>
    </row>
    <row r="13" spans="1:50" ht="15">
      <c r="A13" s="93"/>
      <c r="B13" s="93"/>
      <c r="C13" s="93"/>
      <c r="D13" s="93"/>
      <c r="E13" s="93"/>
      <c r="F13" s="93"/>
      <c r="G13" s="93"/>
      <c r="H13" s="93"/>
      <c r="I13" s="93"/>
      <c r="J13" s="94"/>
      <c r="K13" s="98"/>
      <c r="L13" s="93"/>
      <c r="M13" s="95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9"/>
      <c r="AW13" s="99"/>
      <c r="AX13" s="99"/>
    </row>
    <row r="14" spans="1:50" ht="15">
      <c r="A14" s="93"/>
      <c r="B14" s="93"/>
      <c r="C14" s="93"/>
      <c r="D14" s="93"/>
      <c r="E14" s="93"/>
      <c r="F14" s="93"/>
      <c r="G14" s="93"/>
      <c r="H14" s="93"/>
      <c r="I14" s="93"/>
      <c r="J14" s="94"/>
      <c r="K14" s="98"/>
      <c r="L14" s="93"/>
      <c r="M14" s="95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9"/>
      <c r="AW14" s="99"/>
      <c r="AX14" s="99"/>
    </row>
    <row r="15" spans="1:50" ht="15">
      <c r="A15" s="93"/>
      <c r="B15" s="93"/>
      <c r="C15" s="93"/>
      <c r="D15" s="93"/>
      <c r="E15" s="93"/>
      <c r="F15" s="93"/>
      <c r="G15" s="93"/>
      <c r="H15" s="93"/>
      <c r="I15" s="93"/>
      <c r="J15" s="94"/>
      <c r="K15" s="98"/>
      <c r="L15" s="93"/>
      <c r="M15" s="95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9"/>
      <c r="AW15" s="99"/>
      <c r="AX15" s="99"/>
    </row>
    <row r="16" spans="1:50" ht="15">
      <c r="A16" s="93"/>
      <c r="B16" s="93"/>
      <c r="C16" s="93"/>
      <c r="D16" s="93"/>
      <c r="E16" s="93"/>
      <c r="F16" s="93"/>
      <c r="G16" s="93"/>
      <c r="H16" s="93"/>
      <c r="I16" s="93"/>
      <c r="J16" s="94"/>
      <c r="K16" s="98"/>
      <c r="L16" s="93"/>
      <c r="M16" s="95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</row>
    <row r="17" spans="1:50" ht="15">
      <c r="A17" s="93"/>
      <c r="B17" s="93"/>
      <c r="C17" s="93"/>
      <c r="D17" s="93"/>
      <c r="E17" s="93"/>
      <c r="F17" s="93"/>
      <c r="G17" s="93"/>
      <c r="H17" s="93"/>
      <c r="I17" s="93"/>
      <c r="J17" s="94"/>
      <c r="K17" s="98"/>
      <c r="L17" s="93"/>
      <c r="M17" s="95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</row>
  </sheetData>
  <conditionalFormatting sqref="AU3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3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5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6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7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7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9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1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1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decimal" errorStyle="warning" operator="greaterThan" allowBlank="1" showInputMessage="1" showErrorMessage="1" sqref="M2">
      <formula1>100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M12"/>
  <sheetViews>
    <sheetView tabSelected="1" topLeftCell="C1" workbookViewId="0">
      <selection activeCell="E6" sqref="E6"/>
    </sheetView>
  </sheetViews>
  <sheetFormatPr defaultColWidth="8.85546875" defaultRowHeight="15.75"/>
  <cols>
    <col min="1" max="3" width="15.7109375" style="46" customWidth="1"/>
    <col min="4" max="6" width="20.7109375" style="46" customWidth="1"/>
    <col min="7" max="13" width="15.7109375" style="46" customWidth="1"/>
    <col min="14" max="16384" width="8.85546875" style="46"/>
  </cols>
  <sheetData>
    <row r="1" spans="1:13">
      <c r="A1" s="145" t="s">
        <v>114</v>
      </c>
      <c r="B1" s="147" t="s">
        <v>18</v>
      </c>
      <c r="C1" s="149" t="s">
        <v>19</v>
      </c>
      <c r="D1" s="151" t="s">
        <v>143</v>
      </c>
      <c r="E1" s="152"/>
      <c r="F1" s="153"/>
      <c r="G1" s="154" t="s">
        <v>144</v>
      </c>
      <c r="H1" s="156" t="s">
        <v>145</v>
      </c>
      <c r="I1" s="161" t="s">
        <v>10</v>
      </c>
      <c r="J1" s="163" t="s">
        <v>146</v>
      </c>
      <c r="K1" s="165" t="s">
        <v>147</v>
      </c>
      <c r="L1" s="137" t="s">
        <v>14</v>
      </c>
      <c r="M1" s="139" t="s">
        <v>146</v>
      </c>
    </row>
    <row r="2" spans="1:13">
      <c r="A2" s="146"/>
      <c r="B2" s="148"/>
      <c r="C2" s="150"/>
      <c r="D2" s="47" t="s">
        <v>148</v>
      </c>
      <c r="E2" s="48" t="s">
        <v>149</v>
      </c>
      <c r="F2" s="49" t="s">
        <v>150</v>
      </c>
      <c r="G2" s="155"/>
      <c r="H2" s="157"/>
      <c r="I2" s="162"/>
      <c r="J2" s="164"/>
      <c r="K2" s="166"/>
      <c r="L2" s="138"/>
      <c r="M2" s="140"/>
    </row>
    <row r="3" spans="1:13">
      <c r="A3" s="50"/>
      <c r="B3" s="51"/>
      <c r="C3" s="52"/>
      <c r="D3" s="50"/>
      <c r="E3" s="51"/>
      <c r="F3" s="52"/>
      <c r="G3" s="50"/>
      <c r="H3" s="52"/>
      <c r="I3" s="50"/>
      <c r="J3" s="52"/>
      <c r="K3" s="50"/>
      <c r="L3" s="51"/>
      <c r="M3" s="52"/>
    </row>
    <row r="4" spans="1:13" ht="47.25">
      <c r="A4" s="141" t="s">
        <v>151</v>
      </c>
      <c r="B4" s="141" t="s">
        <v>152</v>
      </c>
      <c r="C4" s="141" t="s">
        <v>174</v>
      </c>
      <c r="D4" s="53" t="s">
        <v>156</v>
      </c>
      <c r="E4" s="54" t="s">
        <v>176</v>
      </c>
      <c r="F4" s="55" t="s">
        <v>183</v>
      </c>
      <c r="G4" s="143" t="s">
        <v>191</v>
      </c>
      <c r="H4" s="144" t="s">
        <v>171</v>
      </c>
      <c r="I4" s="143" t="s">
        <v>194</v>
      </c>
      <c r="J4" s="167" t="s">
        <v>172</v>
      </c>
      <c r="K4" s="143">
        <v>7</v>
      </c>
      <c r="L4" s="141" t="s">
        <v>200</v>
      </c>
      <c r="M4" s="168" t="s">
        <v>165</v>
      </c>
    </row>
    <row r="5" spans="1:13" ht="63">
      <c r="A5" s="141"/>
      <c r="B5" s="141"/>
      <c r="C5" s="141"/>
      <c r="D5" s="56" t="s">
        <v>157</v>
      </c>
      <c r="E5" s="54" t="s">
        <v>197</v>
      </c>
      <c r="F5" s="57" t="s">
        <v>185</v>
      </c>
      <c r="G5" s="143"/>
      <c r="H5" s="144"/>
      <c r="I5" s="143"/>
      <c r="J5" s="167"/>
      <c r="K5" s="143"/>
      <c r="L5" s="141"/>
      <c r="M5" s="169"/>
    </row>
    <row r="6" spans="1:13" ht="173.25">
      <c r="A6" s="141"/>
      <c r="B6" s="141"/>
      <c r="C6" s="141"/>
      <c r="D6" s="56" t="s">
        <v>158</v>
      </c>
      <c r="E6" s="54" t="s">
        <v>178</v>
      </c>
      <c r="F6" s="55" t="s">
        <v>187</v>
      </c>
      <c r="G6" s="143"/>
      <c r="H6" s="144"/>
      <c r="I6" s="143"/>
      <c r="J6" s="167"/>
      <c r="K6" s="143"/>
      <c r="L6" s="141"/>
      <c r="M6" s="169"/>
    </row>
    <row r="7" spans="1:13" ht="47.25">
      <c r="A7" s="142"/>
      <c r="B7" s="142"/>
      <c r="C7" s="142"/>
      <c r="D7" s="56" t="s">
        <v>163</v>
      </c>
      <c r="E7" s="54" t="s">
        <v>181</v>
      </c>
      <c r="F7" s="55" t="s">
        <v>189</v>
      </c>
      <c r="G7" s="143"/>
      <c r="H7" s="144"/>
      <c r="I7" s="143"/>
      <c r="J7" s="167"/>
      <c r="K7" s="143"/>
      <c r="L7" s="141"/>
      <c r="M7" s="170"/>
    </row>
    <row r="8" spans="1:13">
      <c r="A8" s="58"/>
      <c r="B8" s="59"/>
      <c r="C8" s="60"/>
      <c r="D8" s="56"/>
      <c r="E8" s="54"/>
      <c r="F8" s="55"/>
      <c r="G8" s="61"/>
      <c r="H8" s="62"/>
      <c r="I8" s="61"/>
      <c r="J8" s="63"/>
      <c r="K8" s="61"/>
      <c r="L8" s="112"/>
      <c r="M8" s="62"/>
    </row>
    <row r="9" spans="1:13" ht="47.25">
      <c r="A9" s="141" t="s">
        <v>151</v>
      </c>
      <c r="B9" s="74" t="s">
        <v>153</v>
      </c>
      <c r="C9" s="75" t="s">
        <v>175</v>
      </c>
      <c r="D9" s="53" t="s">
        <v>156</v>
      </c>
      <c r="E9" s="54" t="s">
        <v>177</v>
      </c>
      <c r="F9" s="55" t="s">
        <v>184</v>
      </c>
      <c r="G9" s="65" t="s">
        <v>192</v>
      </c>
      <c r="H9" s="65" t="s">
        <v>193</v>
      </c>
      <c r="I9" s="65" t="s">
        <v>195</v>
      </c>
      <c r="J9" s="158" t="s">
        <v>196</v>
      </c>
      <c r="K9" s="65">
        <v>3.75</v>
      </c>
      <c r="L9" s="65" t="s">
        <v>168</v>
      </c>
      <c r="M9" s="66" t="s">
        <v>170</v>
      </c>
    </row>
    <row r="10" spans="1:13" ht="63">
      <c r="A10" s="141"/>
      <c r="B10" s="67"/>
      <c r="C10" s="68"/>
      <c r="D10" s="56" t="s">
        <v>157</v>
      </c>
      <c r="E10" s="69" t="s">
        <v>180</v>
      </c>
      <c r="F10" s="57" t="s">
        <v>186</v>
      </c>
      <c r="G10" s="70"/>
      <c r="H10" s="70"/>
      <c r="I10" s="70"/>
      <c r="J10" s="159"/>
      <c r="K10" s="70"/>
      <c r="L10" s="70"/>
      <c r="M10" s="70"/>
    </row>
    <row r="11" spans="1:13" ht="173.25">
      <c r="A11" s="141"/>
      <c r="B11" s="67"/>
      <c r="C11" s="68"/>
      <c r="D11" s="56" t="s">
        <v>158</v>
      </c>
      <c r="E11" s="54" t="s">
        <v>179</v>
      </c>
      <c r="F11" s="64" t="s">
        <v>188</v>
      </c>
      <c r="G11" s="70"/>
      <c r="H11" s="70"/>
      <c r="I11" s="70"/>
      <c r="J11" s="159"/>
      <c r="K11" s="70"/>
      <c r="L11" s="70"/>
      <c r="M11" s="70"/>
    </row>
    <row r="12" spans="1:13" ht="47.25">
      <c r="A12" s="141"/>
      <c r="B12" s="71"/>
      <c r="C12" s="72"/>
      <c r="D12" s="56" t="s">
        <v>163</v>
      </c>
      <c r="E12" s="54" t="s">
        <v>182</v>
      </c>
      <c r="F12" s="64" t="s">
        <v>190</v>
      </c>
      <c r="G12" s="73"/>
      <c r="H12" s="73"/>
      <c r="I12" s="73"/>
      <c r="J12" s="160"/>
      <c r="K12" s="73"/>
      <c r="L12" s="73"/>
      <c r="M12" s="73"/>
    </row>
  </sheetData>
  <mergeCells count="23">
    <mergeCell ref="A9:A12"/>
    <mergeCell ref="J9:J12"/>
    <mergeCell ref="I1:I2"/>
    <mergeCell ref="J1:J2"/>
    <mergeCell ref="K1:K2"/>
    <mergeCell ref="I4:I7"/>
    <mergeCell ref="J4:J7"/>
    <mergeCell ref="K4:K7"/>
    <mergeCell ref="L1:L2"/>
    <mergeCell ref="M1:M2"/>
    <mergeCell ref="A4:A7"/>
    <mergeCell ref="B4:B7"/>
    <mergeCell ref="C4:C7"/>
    <mergeCell ref="G4:G7"/>
    <mergeCell ref="H4:H7"/>
    <mergeCell ref="A1:A2"/>
    <mergeCell ref="B1:B2"/>
    <mergeCell ref="C1:C2"/>
    <mergeCell ref="D1:F1"/>
    <mergeCell ref="G1:G2"/>
    <mergeCell ref="H1:H2"/>
    <mergeCell ref="L4:L7"/>
    <mergeCell ref="M4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Livestock and Poultry_SS</vt:lpstr>
      <vt:lpstr>Sheet1</vt:lpstr>
      <vt:lpstr>Pivot_SS</vt:lpstr>
      <vt:lpstr>Sum_SS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2020-06-16T06:12:31Z</dcterms:created>
  <dcterms:modified xsi:type="dcterms:W3CDTF">2020-06-25T20:02:50Z</dcterms:modified>
</cp:coreProperties>
</file>